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seges-data\Seges-Data\Klimabaeredygtighed\04 Medarbejdermapper\AOMA\Projects\ongoing\2022_oksekødproduktionen_\"/>
    </mc:Choice>
  </mc:AlternateContent>
  <xr:revisionPtr revIDLastSave="0" documentId="13_ncr:1_{8FC14E8D-893A-4D84-9598-C36E0FEC9005}" xr6:coauthVersionLast="47" xr6:coauthVersionMax="47" xr10:uidLastSave="{00000000-0000-0000-0000-000000000000}"/>
  <bookViews>
    <workbookView xWindow="-28920" yWindow="-120" windowWidth="29040" windowHeight="15840" tabRatio="667" activeTab="5" xr2:uid="{1FE14950-02BC-42A3-AD1F-CC78581CF194}"/>
  </bookViews>
  <sheets>
    <sheet name="Info" sheetId="26" r:id="rId1"/>
    <sheet name="Groups" sheetId="21" r:id="rId2"/>
    <sheet name="EF" sheetId="11" r:id="rId3"/>
    <sheet name="Normtal" sheetId="2" r:id="rId4"/>
    <sheet name="CH4_Gylle_Stald&amp;Lager" sheetId="3" r:id="rId5"/>
    <sheet name="N2O_Gylle_Stald&amp;Lager" sheetId="1" r:id="rId6"/>
    <sheet name="EntericFer &amp; FeedCultiv" sheetId="24" r:id="rId7"/>
    <sheet name="Summary" sheetId="25" r:id="rId8"/>
    <sheet name="CH4_enterisk, formulas" sheetId="23"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6" i="2" l="1"/>
  <c r="Q7" i="2"/>
  <c r="Q8" i="2"/>
  <c r="Q9" i="2"/>
  <c r="Q10" i="2"/>
  <c r="Q11" i="2"/>
  <c r="Q12" i="2"/>
  <c r="Q13" i="2"/>
  <c r="Q14" i="2"/>
  <c r="Q15" i="2"/>
  <c r="Q16" i="2"/>
  <c r="Q17" i="2"/>
  <c r="Q18" i="2"/>
  <c r="Q19" i="2"/>
  <c r="Q20" i="2"/>
  <c r="Q21" i="2"/>
  <c r="Q136" i="2"/>
  <c r="R136" i="2"/>
  <c r="Q137" i="2"/>
  <c r="R137" i="2"/>
  <c r="Q138" i="2"/>
  <c r="R138" i="2"/>
  <c r="Q139" i="2"/>
  <c r="R139" i="2"/>
  <c r="Q140" i="2"/>
  <c r="R140" i="2"/>
  <c r="Q141" i="2"/>
  <c r="R141" i="2"/>
  <c r="Q142" i="2"/>
  <c r="R142" i="2"/>
  <c r="Q143" i="2"/>
  <c r="R143" i="2"/>
  <c r="Q144" i="2"/>
  <c r="R144" i="2"/>
  <c r="Q145" i="2"/>
  <c r="R145" i="2"/>
  <c r="Q146" i="2"/>
  <c r="R146" i="2"/>
  <c r="Q147" i="2"/>
  <c r="R147" i="2"/>
  <c r="Q148" i="2"/>
  <c r="R148" i="2"/>
  <c r="Q149" i="2"/>
  <c r="R149" i="2"/>
  <c r="Q150" i="2"/>
  <c r="R150" i="2"/>
  <c r="R135" i="2"/>
  <c r="Q135" i="2"/>
  <c r="D123" i="24"/>
  <c r="D122" i="24"/>
  <c r="D104" i="24"/>
  <c r="D103" i="24"/>
  <c r="B120" i="24"/>
  <c r="B101" i="24"/>
  <c r="C38" i="1"/>
  <c r="C39" i="1"/>
  <c r="BF65" i="1"/>
  <c r="BF41" i="1"/>
  <c r="BF42" i="1"/>
  <c r="BF43" i="1"/>
  <c r="BF44" i="1"/>
  <c r="BF45" i="1"/>
  <c r="BF46" i="1"/>
  <c r="BF47" i="1"/>
  <c r="BF48" i="1"/>
  <c r="BF49" i="1"/>
  <c r="BF50" i="1"/>
  <c r="BF51" i="1"/>
  <c r="BF52" i="1"/>
  <c r="BF53" i="1"/>
  <c r="BF54" i="1"/>
  <c r="BF55" i="1"/>
  <c r="BF56" i="1"/>
  <c r="BF57" i="1"/>
  <c r="BF58" i="1"/>
  <c r="BF59" i="1"/>
  <c r="BF60" i="1"/>
  <c r="BF61" i="1"/>
  <c r="BF62" i="1"/>
  <c r="BF63" i="1"/>
  <c r="BF64" i="1"/>
  <c r="BF40" i="1"/>
  <c r="P89" i="2"/>
  <c r="P215" i="2"/>
  <c r="D101" i="24" l="1"/>
  <c r="M94" i="24"/>
  <c r="K53" i="25"/>
  <c r="J53" i="25"/>
  <c r="K43" i="25"/>
  <c r="J43" i="25"/>
  <c r="H153" i="24"/>
  <c r="J85" i="25" s="1"/>
  <c r="J61" i="25"/>
  <c r="K61" i="25"/>
  <c r="J88" i="25"/>
  <c r="K88" i="25"/>
  <c r="J89" i="25"/>
  <c r="K89" i="25"/>
  <c r="J90" i="25"/>
  <c r="K90" i="25"/>
  <c r="J79" i="25"/>
  <c r="K79" i="25"/>
  <c r="J80" i="25"/>
  <c r="K80" i="25"/>
  <c r="J81" i="25"/>
  <c r="K81" i="25"/>
  <c r="J82" i="25"/>
  <c r="K82" i="25"/>
  <c r="J83" i="25"/>
  <c r="K83" i="25"/>
  <c r="J84" i="25"/>
  <c r="K84" i="25"/>
  <c r="K85" i="25"/>
  <c r="J86" i="25"/>
  <c r="K86" i="25"/>
  <c r="J87" i="25"/>
  <c r="K87" i="25"/>
  <c r="H134" i="24"/>
  <c r="O54" i="25" l="1"/>
  <c r="G129" i="24" l="1"/>
  <c r="G130" i="24"/>
  <c r="G131" i="24"/>
  <c r="G132" i="24"/>
  <c r="G133" i="24"/>
  <c r="G134" i="24"/>
  <c r="G135" i="24"/>
  <c r="G136" i="24"/>
  <c r="G137" i="24"/>
  <c r="G138" i="24"/>
  <c r="G139" i="24"/>
  <c r="G147" i="24"/>
  <c r="I79" i="25" s="1"/>
  <c r="G148" i="24"/>
  <c r="I80" i="25" s="1"/>
  <c r="G149" i="24"/>
  <c r="I81" i="25" s="1"/>
  <c r="G150" i="24"/>
  <c r="I82" i="25" s="1"/>
  <c r="G151" i="24"/>
  <c r="I83" i="25" s="1"/>
  <c r="G152" i="24"/>
  <c r="I84" i="25" s="1"/>
  <c r="G153" i="24"/>
  <c r="I85" i="25" s="1"/>
  <c r="G154" i="24"/>
  <c r="I86" i="25" s="1"/>
  <c r="G155" i="24"/>
  <c r="I87" i="25" s="1"/>
  <c r="G156" i="24"/>
  <c r="I88" i="25" s="1"/>
  <c r="G157" i="24"/>
  <c r="I89" i="25" s="1"/>
  <c r="G158" i="24"/>
  <c r="I90" i="25" s="1"/>
  <c r="G128" i="24"/>
  <c r="I61" i="25" s="1"/>
  <c r="G180" i="24"/>
  <c r="G181" i="24"/>
  <c r="G182" i="24"/>
  <c r="G183" i="24"/>
  <c r="G184" i="24"/>
  <c r="G185" i="24"/>
  <c r="G186" i="24"/>
  <c r="G187" i="24"/>
  <c r="G188" i="24"/>
  <c r="G189" i="24"/>
  <c r="G190" i="24"/>
  <c r="G179" i="24"/>
  <c r="G167" i="24"/>
  <c r="G168" i="24"/>
  <c r="G169" i="24"/>
  <c r="G170" i="24"/>
  <c r="G171" i="24"/>
  <c r="G172" i="24"/>
  <c r="G173" i="24"/>
  <c r="G174" i="24"/>
  <c r="G175" i="24"/>
  <c r="G176" i="24"/>
  <c r="G177" i="24"/>
  <c r="G166" i="24"/>
  <c r="AB156" i="24"/>
  <c r="AA156" i="24"/>
  <c r="Z156" i="24"/>
  <c r="Y156" i="24"/>
  <c r="X156" i="24"/>
  <c r="W156" i="24"/>
  <c r="V156" i="24"/>
  <c r="U156" i="24"/>
  <c r="T156" i="24"/>
  <c r="S156" i="24"/>
  <c r="R156" i="24"/>
  <c r="Q156" i="24"/>
  <c r="P156" i="24"/>
  <c r="O156" i="24"/>
  <c r="N156" i="24"/>
  <c r="AB149" i="24"/>
  <c r="AA149" i="24"/>
  <c r="Z149" i="24"/>
  <c r="Y149" i="24"/>
  <c r="X149" i="24"/>
  <c r="W149" i="24"/>
  <c r="V149" i="24"/>
  <c r="U149" i="24"/>
  <c r="T149" i="24"/>
  <c r="S149" i="24"/>
  <c r="R149" i="24"/>
  <c r="Q149" i="24"/>
  <c r="P149" i="24"/>
  <c r="O149" i="24"/>
  <c r="N149" i="24"/>
  <c r="O130" i="24"/>
  <c r="P130" i="24"/>
  <c r="Q130" i="24"/>
  <c r="R130" i="24"/>
  <c r="S130" i="24"/>
  <c r="T130" i="24"/>
  <c r="U130" i="24"/>
  <c r="V130" i="24"/>
  <c r="W130" i="24"/>
  <c r="X130" i="24"/>
  <c r="Y130" i="24"/>
  <c r="Z130" i="24"/>
  <c r="AA130" i="24"/>
  <c r="AB130" i="24"/>
  <c r="O137" i="24"/>
  <c r="P137" i="24"/>
  <c r="Q137" i="24"/>
  <c r="R137" i="24"/>
  <c r="S137" i="24"/>
  <c r="T137" i="24"/>
  <c r="U137" i="24"/>
  <c r="V137" i="24"/>
  <c r="W137" i="24"/>
  <c r="X137" i="24"/>
  <c r="Y137" i="24"/>
  <c r="Z137" i="24"/>
  <c r="AA137" i="24"/>
  <c r="AB137" i="24"/>
  <c r="N130" i="24"/>
  <c r="N137" i="24"/>
  <c r="AB118" i="24"/>
  <c r="AB158" i="24" s="1"/>
  <c r="AA118" i="24"/>
  <c r="AA158" i="24" s="1"/>
  <c r="Z118" i="24"/>
  <c r="Z158" i="24" s="1"/>
  <c r="Y118" i="24"/>
  <c r="Y158" i="24" s="1"/>
  <c r="X118" i="24"/>
  <c r="X158" i="24" s="1"/>
  <c r="W118" i="24"/>
  <c r="W158" i="24" s="1"/>
  <c r="V118" i="24"/>
  <c r="V158" i="24" s="1"/>
  <c r="U118" i="24"/>
  <c r="U158" i="24" s="1"/>
  <c r="T118" i="24"/>
  <c r="T158" i="24" s="1"/>
  <c r="S118" i="24"/>
  <c r="S158" i="24" s="1"/>
  <c r="R118" i="24"/>
  <c r="R158" i="24" s="1"/>
  <c r="Q118" i="24"/>
  <c r="Q158" i="24" s="1"/>
  <c r="P118" i="24"/>
  <c r="P158" i="24" s="1"/>
  <c r="O118" i="24"/>
  <c r="O158" i="24" s="1"/>
  <c r="N118" i="24"/>
  <c r="N158" i="24" s="1"/>
  <c r="AB117" i="24"/>
  <c r="AB157" i="24" s="1"/>
  <c r="AA117" i="24"/>
  <c r="AA157" i="24" s="1"/>
  <c r="Z117" i="24"/>
  <c r="Z157" i="24" s="1"/>
  <c r="Y117" i="24"/>
  <c r="Y157" i="24" s="1"/>
  <c r="X117" i="24"/>
  <c r="X157" i="24" s="1"/>
  <c r="W117" i="24"/>
  <c r="W157" i="24" s="1"/>
  <c r="V117" i="24"/>
  <c r="V157" i="24" s="1"/>
  <c r="U117" i="24"/>
  <c r="U157" i="24" s="1"/>
  <c r="T117" i="24"/>
  <c r="T157" i="24" s="1"/>
  <c r="S117" i="24"/>
  <c r="S157" i="24" s="1"/>
  <c r="R117" i="24"/>
  <c r="R157" i="24" s="1"/>
  <c r="Q117" i="24"/>
  <c r="Q157" i="24" s="1"/>
  <c r="P117" i="24"/>
  <c r="P157" i="24" s="1"/>
  <c r="O117" i="24"/>
  <c r="O157" i="24" s="1"/>
  <c r="N117" i="24"/>
  <c r="N157" i="24" s="1"/>
  <c r="AB115" i="24"/>
  <c r="AB155" i="24" s="1"/>
  <c r="AA115" i="24"/>
  <c r="AA155" i="24" s="1"/>
  <c r="Z115" i="24"/>
  <c r="Z155" i="24" s="1"/>
  <c r="Y115" i="24"/>
  <c r="Y155" i="24" s="1"/>
  <c r="X115" i="24"/>
  <c r="X155" i="24" s="1"/>
  <c r="W115" i="24"/>
  <c r="W155" i="24" s="1"/>
  <c r="V115" i="24"/>
  <c r="V155" i="24" s="1"/>
  <c r="U115" i="24"/>
  <c r="U155" i="24" s="1"/>
  <c r="T115" i="24"/>
  <c r="T155" i="24" s="1"/>
  <c r="S115" i="24"/>
  <c r="S155" i="24" s="1"/>
  <c r="R115" i="24"/>
  <c r="R155" i="24" s="1"/>
  <c r="Q115" i="24"/>
  <c r="Q155" i="24" s="1"/>
  <c r="P115" i="24"/>
  <c r="P155" i="24" s="1"/>
  <c r="O115" i="24"/>
  <c r="O155" i="24" s="1"/>
  <c r="N115" i="24"/>
  <c r="N155" i="24" s="1"/>
  <c r="AB114" i="24"/>
  <c r="AB154" i="24" s="1"/>
  <c r="AA114" i="24"/>
  <c r="AA154" i="24" s="1"/>
  <c r="Z114" i="24"/>
  <c r="Z154" i="24" s="1"/>
  <c r="Y114" i="24"/>
  <c r="Y154" i="24" s="1"/>
  <c r="X114" i="24"/>
  <c r="X154" i="24" s="1"/>
  <c r="W114" i="24"/>
  <c r="W154" i="24" s="1"/>
  <c r="V114" i="24"/>
  <c r="V154" i="24" s="1"/>
  <c r="U114" i="24"/>
  <c r="U154" i="24" s="1"/>
  <c r="T114" i="24"/>
  <c r="T154" i="24" s="1"/>
  <c r="S114" i="24"/>
  <c r="S154" i="24" s="1"/>
  <c r="R114" i="24"/>
  <c r="R154" i="24" s="1"/>
  <c r="Q114" i="24"/>
  <c r="Q154" i="24" s="1"/>
  <c r="P114" i="24"/>
  <c r="P154" i="24" s="1"/>
  <c r="O114" i="24"/>
  <c r="O154" i="24" s="1"/>
  <c r="N114" i="24"/>
  <c r="N154" i="24" s="1"/>
  <c r="AB113" i="24"/>
  <c r="AB153" i="24" s="1"/>
  <c r="AA113" i="24"/>
  <c r="AA153" i="24" s="1"/>
  <c r="Z113" i="24"/>
  <c r="Z153" i="24" s="1"/>
  <c r="Y113" i="24"/>
  <c r="Y153" i="24" s="1"/>
  <c r="X113" i="24"/>
  <c r="X153" i="24" s="1"/>
  <c r="W113" i="24"/>
  <c r="W153" i="24" s="1"/>
  <c r="V113" i="24"/>
  <c r="V153" i="24" s="1"/>
  <c r="U113" i="24"/>
  <c r="U153" i="24" s="1"/>
  <c r="T113" i="24"/>
  <c r="T153" i="24" s="1"/>
  <c r="S113" i="24"/>
  <c r="S153" i="24" s="1"/>
  <c r="R113" i="24"/>
  <c r="R153" i="24" s="1"/>
  <c r="Q113" i="24"/>
  <c r="Q153" i="24" s="1"/>
  <c r="P113" i="24"/>
  <c r="P153" i="24" s="1"/>
  <c r="O113" i="24"/>
  <c r="O153" i="24" s="1"/>
  <c r="N113" i="24"/>
  <c r="N153" i="24" s="1"/>
  <c r="AB112" i="24"/>
  <c r="AB152" i="24" s="1"/>
  <c r="AA112" i="24"/>
  <c r="AA152" i="24" s="1"/>
  <c r="Z112" i="24"/>
  <c r="Z152" i="24" s="1"/>
  <c r="Y112" i="24"/>
  <c r="Y152" i="24" s="1"/>
  <c r="X112" i="24"/>
  <c r="X152" i="24" s="1"/>
  <c r="W112" i="24"/>
  <c r="W152" i="24" s="1"/>
  <c r="V112" i="24"/>
  <c r="V152" i="24" s="1"/>
  <c r="U112" i="24"/>
  <c r="U152" i="24" s="1"/>
  <c r="T112" i="24"/>
  <c r="T152" i="24" s="1"/>
  <c r="S112" i="24"/>
  <c r="S152" i="24" s="1"/>
  <c r="R112" i="24"/>
  <c r="R152" i="24" s="1"/>
  <c r="Q112" i="24"/>
  <c r="Q152" i="24" s="1"/>
  <c r="P112" i="24"/>
  <c r="P152" i="24" s="1"/>
  <c r="O112" i="24"/>
  <c r="O152" i="24" s="1"/>
  <c r="N112" i="24"/>
  <c r="N152" i="24" s="1"/>
  <c r="AB111" i="24"/>
  <c r="AB151" i="24" s="1"/>
  <c r="AA111" i="24"/>
  <c r="AA151" i="24" s="1"/>
  <c r="Z111" i="24"/>
  <c r="Z151" i="24" s="1"/>
  <c r="Y111" i="24"/>
  <c r="Y151" i="24" s="1"/>
  <c r="X111" i="24"/>
  <c r="X151" i="24" s="1"/>
  <c r="W111" i="24"/>
  <c r="W151" i="24" s="1"/>
  <c r="V111" i="24"/>
  <c r="V151" i="24" s="1"/>
  <c r="U111" i="24"/>
  <c r="U151" i="24" s="1"/>
  <c r="T111" i="24"/>
  <c r="T151" i="24" s="1"/>
  <c r="S111" i="24"/>
  <c r="S151" i="24" s="1"/>
  <c r="R111" i="24"/>
  <c r="R151" i="24" s="1"/>
  <c r="Q111" i="24"/>
  <c r="Q151" i="24" s="1"/>
  <c r="P111" i="24"/>
  <c r="P151" i="24" s="1"/>
  <c r="O111" i="24"/>
  <c r="O151" i="24" s="1"/>
  <c r="N111" i="24"/>
  <c r="N151" i="24" s="1"/>
  <c r="AB110" i="24"/>
  <c r="AB150" i="24" s="1"/>
  <c r="AA110" i="24"/>
  <c r="AA150" i="24" s="1"/>
  <c r="Z110" i="24"/>
  <c r="Z150" i="24" s="1"/>
  <c r="Y110" i="24"/>
  <c r="Y150" i="24" s="1"/>
  <c r="X110" i="24"/>
  <c r="X150" i="24" s="1"/>
  <c r="W110" i="24"/>
  <c r="W150" i="24" s="1"/>
  <c r="V110" i="24"/>
  <c r="V150" i="24" s="1"/>
  <c r="U110" i="24"/>
  <c r="U150" i="24" s="1"/>
  <c r="T110" i="24"/>
  <c r="T150" i="24" s="1"/>
  <c r="S110" i="24"/>
  <c r="S150" i="24" s="1"/>
  <c r="R110" i="24"/>
  <c r="R150" i="24" s="1"/>
  <c r="Q110" i="24"/>
  <c r="Q150" i="24" s="1"/>
  <c r="P110" i="24"/>
  <c r="P150" i="24" s="1"/>
  <c r="O110" i="24"/>
  <c r="O150" i="24" s="1"/>
  <c r="N110" i="24"/>
  <c r="N150" i="24" s="1"/>
  <c r="AB108" i="24"/>
  <c r="AB148" i="24" s="1"/>
  <c r="AA108" i="24"/>
  <c r="AA148" i="24" s="1"/>
  <c r="Z108" i="24"/>
  <c r="Z148" i="24" s="1"/>
  <c r="Y108" i="24"/>
  <c r="Y148" i="24" s="1"/>
  <c r="X108" i="24"/>
  <c r="X148" i="24" s="1"/>
  <c r="W108" i="24"/>
  <c r="W148" i="24" s="1"/>
  <c r="V108" i="24"/>
  <c r="V148" i="24" s="1"/>
  <c r="U108" i="24"/>
  <c r="U148" i="24" s="1"/>
  <c r="T108" i="24"/>
  <c r="T148" i="24" s="1"/>
  <c r="S108" i="24"/>
  <c r="S148" i="24" s="1"/>
  <c r="R108" i="24"/>
  <c r="R148" i="24" s="1"/>
  <c r="Q108" i="24"/>
  <c r="Q148" i="24" s="1"/>
  <c r="P108" i="24"/>
  <c r="P148" i="24" s="1"/>
  <c r="O108" i="24"/>
  <c r="O148" i="24" s="1"/>
  <c r="N108" i="24"/>
  <c r="N148" i="24" s="1"/>
  <c r="AB107" i="24"/>
  <c r="AB147" i="24" s="1"/>
  <c r="AA107" i="24"/>
  <c r="AA147" i="24" s="1"/>
  <c r="Z107" i="24"/>
  <c r="Z147" i="24" s="1"/>
  <c r="Y107" i="24"/>
  <c r="Y147" i="24" s="1"/>
  <c r="X107" i="24"/>
  <c r="X147" i="24" s="1"/>
  <c r="W107" i="24"/>
  <c r="W147" i="24" s="1"/>
  <c r="V107" i="24"/>
  <c r="V147" i="24" s="1"/>
  <c r="U107" i="24"/>
  <c r="U147" i="24" s="1"/>
  <c r="T107" i="24"/>
  <c r="T147" i="24" s="1"/>
  <c r="S107" i="24"/>
  <c r="S147" i="24" s="1"/>
  <c r="R107" i="24"/>
  <c r="R147" i="24" s="1"/>
  <c r="Q107" i="24"/>
  <c r="Q147" i="24" s="1"/>
  <c r="P107" i="24"/>
  <c r="P147" i="24" s="1"/>
  <c r="O107" i="24"/>
  <c r="O147" i="24" s="1"/>
  <c r="N107" i="24"/>
  <c r="N147" i="24" s="1"/>
  <c r="O95" i="24"/>
  <c r="O135" i="24" s="1"/>
  <c r="P95" i="24"/>
  <c r="P135" i="24" s="1"/>
  <c r="Q95" i="24"/>
  <c r="Q135" i="24" s="1"/>
  <c r="R95" i="24"/>
  <c r="R135" i="24" s="1"/>
  <c r="S95" i="24"/>
  <c r="S135" i="24" s="1"/>
  <c r="T95" i="24"/>
  <c r="T135" i="24" s="1"/>
  <c r="U95" i="24"/>
  <c r="U135" i="24" s="1"/>
  <c r="V95" i="24"/>
  <c r="V135" i="24" s="1"/>
  <c r="W95" i="24"/>
  <c r="W135" i="24" s="1"/>
  <c r="X95" i="24"/>
  <c r="X135" i="24" s="1"/>
  <c r="Y95" i="24"/>
  <c r="Y135" i="24" s="1"/>
  <c r="Z95" i="24"/>
  <c r="Z135" i="24" s="1"/>
  <c r="AA95" i="24"/>
  <c r="AA135" i="24" s="1"/>
  <c r="AB95" i="24"/>
  <c r="AB135" i="24" s="1"/>
  <c r="N95" i="24"/>
  <c r="N135" i="24" s="1"/>
  <c r="M118" i="24" l="1"/>
  <c r="L118" i="24"/>
  <c r="K118" i="24"/>
  <c r="J118" i="24"/>
  <c r="I118" i="24"/>
  <c r="H118" i="24"/>
  <c r="G118" i="24"/>
  <c r="F118" i="24"/>
  <c r="E118" i="24"/>
  <c r="M117" i="24"/>
  <c r="L117" i="24"/>
  <c r="K117" i="24"/>
  <c r="J117" i="24"/>
  <c r="I117" i="24"/>
  <c r="H117" i="24"/>
  <c r="G117" i="24"/>
  <c r="F117" i="24"/>
  <c r="E117" i="24"/>
  <c r="M115" i="24"/>
  <c r="L115" i="24"/>
  <c r="K115" i="24"/>
  <c r="J115" i="24"/>
  <c r="I115" i="24"/>
  <c r="H115" i="24"/>
  <c r="G115" i="24"/>
  <c r="F115" i="24"/>
  <c r="E115" i="24"/>
  <c r="M113" i="24"/>
  <c r="L113" i="24"/>
  <c r="K113" i="24"/>
  <c r="J113" i="24"/>
  <c r="I113" i="24"/>
  <c r="H113" i="24"/>
  <c r="G113" i="24"/>
  <c r="F113" i="24"/>
  <c r="E113" i="24"/>
  <c r="M112" i="24"/>
  <c r="L112" i="24"/>
  <c r="K112" i="24"/>
  <c r="J112" i="24"/>
  <c r="I112" i="24"/>
  <c r="H112" i="24"/>
  <c r="G112" i="24"/>
  <c r="F112" i="24"/>
  <c r="E112" i="24"/>
  <c r="M111" i="24"/>
  <c r="L111" i="24"/>
  <c r="K111" i="24"/>
  <c r="J111" i="24"/>
  <c r="I111" i="24"/>
  <c r="H111" i="24"/>
  <c r="G111" i="24"/>
  <c r="F111" i="24"/>
  <c r="E111" i="24"/>
  <c r="M110" i="24"/>
  <c r="L110" i="24"/>
  <c r="K110" i="24"/>
  <c r="J110" i="24"/>
  <c r="I110" i="24"/>
  <c r="H110" i="24"/>
  <c r="G110" i="24"/>
  <c r="F110" i="24"/>
  <c r="E110" i="24"/>
  <c r="M108" i="24"/>
  <c r="L108" i="24"/>
  <c r="K108" i="24"/>
  <c r="J108" i="24"/>
  <c r="I108" i="24"/>
  <c r="H108" i="24"/>
  <c r="G108" i="24"/>
  <c r="F108" i="24"/>
  <c r="E108" i="24"/>
  <c r="M129" i="24"/>
  <c r="M130" i="24"/>
  <c r="M131" i="24"/>
  <c r="M132" i="24"/>
  <c r="M133" i="24"/>
  <c r="M134" i="24"/>
  <c r="M135" i="24"/>
  <c r="M136" i="24"/>
  <c r="M137" i="24"/>
  <c r="M138" i="24"/>
  <c r="M139" i="24"/>
  <c r="M147" i="24"/>
  <c r="M148" i="24"/>
  <c r="M149" i="24"/>
  <c r="M150" i="24"/>
  <c r="M151" i="24"/>
  <c r="M152" i="24"/>
  <c r="M153" i="24"/>
  <c r="M154" i="24"/>
  <c r="M155" i="24"/>
  <c r="M156" i="24"/>
  <c r="M157" i="24"/>
  <c r="M158" i="24"/>
  <c r="M128" i="24"/>
  <c r="O88" i="24"/>
  <c r="O128" i="24" s="1"/>
  <c r="P88" i="24"/>
  <c r="P128" i="24" s="1"/>
  <c r="Q88" i="24"/>
  <c r="Q128" i="24" s="1"/>
  <c r="R88" i="24"/>
  <c r="R128" i="24" s="1"/>
  <c r="S88" i="24"/>
  <c r="S128" i="24" s="1"/>
  <c r="T88" i="24"/>
  <c r="T128" i="24" s="1"/>
  <c r="U88" i="24"/>
  <c r="U128" i="24" s="1"/>
  <c r="V88" i="24"/>
  <c r="V128" i="24" s="1"/>
  <c r="W88" i="24"/>
  <c r="W128" i="24" s="1"/>
  <c r="X88" i="24"/>
  <c r="X128" i="24" s="1"/>
  <c r="Y88" i="24"/>
  <c r="Y128" i="24" s="1"/>
  <c r="Z88" i="24"/>
  <c r="Z128" i="24" s="1"/>
  <c r="AA88" i="24"/>
  <c r="AA128" i="24" s="1"/>
  <c r="AB88" i="24"/>
  <c r="AB128" i="24" s="1"/>
  <c r="N88" i="24"/>
  <c r="N128" i="24" s="1"/>
  <c r="R85" i="25"/>
  <c r="S85" i="25"/>
  <c r="T85" i="25"/>
  <c r="U85" i="25"/>
  <c r="S84" i="25"/>
  <c r="T84" i="25"/>
  <c r="U84" i="25"/>
  <c r="R84" i="25"/>
  <c r="R60" i="25"/>
  <c r="R61" i="25"/>
  <c r="U61" i="25"/>
  <c r="T61" i="25"/>
  <c r="S61" i="25"/>
  <c r="U60" i="25"/>
  <c r="T60" i="25"/>
  <c r="S60" i="25"/>
  <c r="D112" i="24" l="1"/>
  <c r="D120" i="24"/>
  <c r="D115" i="24"/>
  <c r="D117" i="24"/>
  <c r="D118" i="24"/>
  <c r="D108" i="24"/>
  <c r="D110" i="24"/>
  <c r="D111" i="24"/>
  <c r="D113" i="24"/>
  <c r="A29" i="25"/>
  <c r="B63" i="25" s="1"/>
  <c r="Q57" i="25" s="1"/>
  <c r="G29" i="25"/>
  <c r="M29" i="25"/>
  <c r="A6" i="25"/>
  <c r="B40" i="25" s="1"/>
  <c r="B6" i="25"/>
  <c r="C6" i="25"/>
  <c r="D6" i="25"/>
  <c r="E6" i="25"/>
  <c r="G6" i="25"/>
  <c r="H6" i="25"/>
  <c r="I6" i="25"/>
  <c r="J6" i="25"/>
  <c r="K6" i="25"/>
  <c r="M6" i="25"/>
  <c r="A7" i="25"/>
  <c r="B41" i="25" s="1"/>
  <c r="G7" i="25"/>
  <c r="H7" i="25"/>
  <c r="M7" i="25"/>
  <c r="O7" i="25"/>
  <c r="R7" i="25"/>
  <c r="G41" i="25" s="1"/>
  <c r="S7" i="25"/>
  <c r="A8" i="25"/>
  <c r="B42" i="25" s="1"/>
  <c r="Q40" i="25" s="1"/>
  <c r="G8" i="25"/>
  <c r="M8" i="25"/>
  <c r="A9" i="25"/>
  <c r="B43" i="25" s="1"/>
  <c r="Q41" i="25" s="1"/>
  <c r="G9" i="25"/>
  <c r="M9" i="25"/>
  <c r="A10" i="25"/>
  <c r="B44" i="25" s="1"/>
  <c r="Q42" i="25" s="1"/>
  <c r="G10" i="25"/>
  <c r="M10" i="25"/>
  <c r="A11" i="25"/>
  <c r="B45" i="25" s="1"/>
  <c r="Q43" i="25" s="1"/>
  <c r="G11" i="25"/>
  <c r="M11" i="25"/>
  <c r="A12" i="25"/>
  <c r="B46" i="25" s="1"/>
  <c r="Q45" i="25" s="1"/>
  <c r="G12" i="25"/>
  <c r="H12" i="25"/>
  <c r="M12" i="25"/>
  <c r="O12" i="25"/>
  <c r="A13" i="25"/>
  <c r="B47" i="25" s="1"/>
  <c r="B13" i="25"/>
  <c r="C13" i="25"/>
  <c r="D13" i="25"/>
  <c r="E13" i="25"/>
  <c r="G13" i="25"/>
  <c r="H13" i="25"/>
  <c r="I13" i="25"/>
  <c r="J13" i="25"/>
  <c r="K13" i="25"/>
  <c r="M13" i="25"/>
  <c r="A14" i="25"/>
  <c r="B48" i="25" s="1"/>
  <c r="G14" i="25"/>
  <c r="H14" i="25"/>
  <c r="M14" i="25"/>
  <c r="O14" i="25"/>
  <c r="R14" i="25"/>
  <c r="G48" i="25" s="1"/>
  <c r="S14" i="25"/>
  <c r="A15" i="25"/>
  <c r="B49" i="25" s="1"/>
  <c r="Q46" i="25" s="1"/>
  <c r="G15" i="25"/>
  <c r="M15" i="25"/>
  <c r="A16" i="25"/>
  <c r="B50" i="25" s="1"/>
  <c r="Q47" i="25" s="1"/>
  <c r="G16" i="25"/>
  <c r="M16" i="25"/>
  <c r="A17" i="25"/>
  <c r="B51" i="25" s="1"/>
  <c r="B17" i="25"/>
  <c r="C17" i="25"/>
  <c r="D17" i="25"/>
  <c r="E17" i="25"/>
  <c r="G17" i="25"/>
  <c r="H17" i="25"/>
  <c r="I17" i="25"/>
  <c r="J17" i="25"/>
  <c r="K17" i="25"/>
  <c r="M17" i="25"/>
  <c r="N17" i="25"/>
  <c r="F51" i="25" s="1"/>
  <c r="O17" i="25"/>
  <c r="R17" i="25"/>
  <c r="G51" i="25" s="1"/>
  <c r="S17" i="25"/>
  <c r="A18" i="25"/>
  <c r="B52" i="25" s="1"/>
  <c r="Q49" i="25" s="1"/>
  <c r="G18" i="25"/>
  <c r="H18" i="25"/>
  <c r="M18" i="25"/>
  <c r="O18" i="25"/>
  <c r="A19" i="25"/>
  <c r="B53" i="25" s="1"/>
  <c r="B19" i="25"/>
  <c r="C19" i="25"/>
  <c r="D19" i="25"/>
  <c r="E19" i="25"/>
  <c r="G19" i="25"/>
  <c r="H19" i="25"/>
  <c r="I19" i="25"/>
  <c r="J19" i="25"/>
  <c r="K19" i="25"/>
  <c r="M19" i="25"/>
  <c r="A20" i="25"/>
  <c r="B54" i="25" s="1"/>
  <c r="G20" i="25"/>
  <c r="H20" i="25"/>
  <c r="M20" i="25"/>
  <c r="O20" i="25"/>
  <c r="R20" i="25"/>
  <c r="G54" i="25" s="1"/>
  <c r="S20" i="25"/>
  <c r="A21" i="25"/>
  <c r="B55" i="25" s="1"/>
  <c r="Q50" i="25" s="1"/>
  <c r="G21" i="25"/>
  <c r="M21" i="25"/>
  <c r="A22" i="25"/>
  <c r="B56" i="25" s="1"/>
  <c r="Q51" i="25" s="1"/>
  <c r="G22" i="25"/>
  <c r="M22" i="25"/>
  <c r="A23" i="25"/>
  <c r="B57" i="25" s="1"/>
  <c r="Q52" i="25" s="1"/>
  <c r="G23" i="25"/>
  <c r="M23" i="25"/>
  <c r="A24" i="25"/>
  <c r="B58" i="25" s="1"/>
  <c r="Q53" i="25" s="1"/>
  <c r="G24" i="25"/>
  <c r="M24" i="25"/>
  <c r="A25" i="25"/>
  <c r="B59" i="25" s="1"/>
  <c r="Q55" i="25" s="1"/>
  <c r="G25" i="25"/>
  <c r="H25" i="25"/>
  <c r="M25" i="25"/>
  <c r="O25" i="25"/>
  <c r="A26" i="25"/>
  <c r="B60" i="25" s="1"/>
  <c r="B26" i="25"/>
  <c r="C26" i="25"/>
  <c r="D26" i="25"/>
  <c r="E26" i="25"/>
  <c r="G26" i="25"/>
  <c r="H26" i="25"/>
  <c r="I26" i="25"/>
  <c r="J26" i="25"/>
  <c r="K26" i="25"/>
  <c r="M26" i="25"/>
  <c r="A27" i="25"/>
  <c r="B61" i="25" s="1"/>
  <c r="G27" i="25"/>
  <c r="H27" i="25"/>
  <c r="M27" i="25"/>
  <c r="O27" i="25"/>
  <c r="R27" i="25"/>
  <c r="G61" i="25" s="1"/>
  <c r="S27" i="25"/>
  <c r="A28" i="25"/>
  <c r="B62" i="25" s="1"/>
  <c r="Q56" i="25" s="1"/>
  <c r="G28" i="25"/>
  <c r="M28" i="25"/>
  <c r="H159" i="24"/>
  <c r="I159" i="24"/>
  <c r="J159" i="24"/>
  <c r="M5" i="25"/>
  <c r="N5" i="25"/>
  <c r="F39" i="25" s="1"/>
  <c r="T39" i="25" s="1"/>
  <c r="O5" i="25"/>
  <c r="K178" i="24"/>
  <c r="Q17" i="25" s="1"/>
  <c r="K179" i="24"/>
  <c r="Q18" i="25" s="1"/>
  <c r="K180" i="24"/>
  <c r="Q19" i="25" s="1"/>
  <c r="K181" i="24"/>
  <c r="Q20" i="25" s="1"/>
  <c r="K182" i="24"/>
  <c r="Q21" i="25" s="1"/>
  <c r="K183" i="24"/>
  <c r="Q22" i="25" s="1"/>
  <c r="K184" i="24"/>
  <c r="Q23" i="25" s="1"/>
  <c r="K185" i="24"/>
  <c r="Q24" i="25" s="1"/>
  <c r="K186" i="24"/>
  <c r="Q25" i="25" s="1"/>
  <c r="K187" i="24"/>
  <c r="Q26" i="25" s="1"/>
  <c r="K188" i="24"/>
  <c r="Q27" i="25" s="1"/>
  <c r="K189" i="24"/>
  <c r="Q28" i="25" s="1"/>
  <c r="K190" i="24"/>
  <c r="Q29" i="25" s="1"/>
  <c r="K167" i="24"/>
  <c r="Q6" i="25" s="1"/>
  <c r="K168" i="24"/>
  <c r="Q7" i="25" s="1"/>
  <c r="K169" i="24"/>
  <c r="Q8" i="25" s="1"/>
  <c r="K170" i="24"/>
  <c r="Q9" i="25" s="1"/>
  <c r="K171" i="24"/>
  <c r="Q10" i="25" s="1"/>
  <c r="K172" i="24"/>
  <c r="Q11" i="25" s="1"/>
  <c r="K173" i="24"/>
  <c r="Q12" i="25" s="1"/>
  <c r="K174" i="24"/>
  <c r="Q13" i="25" s="1"/>
  <c r="K175" i="24"/>
  <c r="Q14" i="25" s="1"/>
  <c r="K176" i="24"/>
  <c r="Q15" i="25" s="1"/>
  <c r="K177" i="24"/>
  <c r="Q16" i="25" s="1"/>
  <c r="K166" i="24"/>
  <c r="Q5" i="25" s="1"/>
  <c r="AE534" i="1"/>
  <c r="AE528" i="1"/>
  <c r="AE531" i="1" s="1"/>
  <c r="AE525" i="1"/>
  <c r="AE524" i="1"/>
  <c r="AE480" i="1"/>
  <c r="AE474" i="1"/>
  <c r="AE477" i="1" s="1"/>
  <c r="AE471" i="1"/>
  <c r="AE470" i="1"/>
  <c r="AE426" i="1"/>
  <c r="AE420" i="1"/>
  <c r="AE423" i="1" s="1"/>
  <c r="AE417" i="1"/>
  <c r="AE416" i="1"/>
  <c r="AE372" i="1"/>
  <c r="AE366" i="1"/>
  <c r="AE369" i="1" s="1"/>
  <c r="AE363" i="1"/>
  <c r="AE362" i="1"/>
  <c r="AE318" i="1"/>
  <c r="AE312" i="1"/>
  <c r="AE309" i="1"/>
  <c r="AE308" i="1"/>
  <c r="AE264" i="1"/>
  <c r="AE258" i="1"/>
  <c r="AE261" i="1" s="1"/>
  <c r="AE255" i="1"/>
  <c r="AE254" i="1"/>
  <c r="AE210" i="1"/>
  <c r="AE204" i="1"/>
  <c r="AE207" i="1" s="1"/>
  <c r="AE201" i="1"/>
  <c r="AE200" i="1"/>
  <c r="AE156" i="1"/>
  <c r="AE150" i="1"/>
  <c r="AE153" i="1" s="1"/>
  <c r="AE147" i="1"/>
  <c r="AE146" i="1"/>
  <c r="AE102" i="1"/>
  <c r="AE96" i="1"/>
  <c r="AE99" i="1" s="1"/>
  <c r="AE93" i="1"/>
  <c r="AE92" i="1"/>
  <c r="AE48" i="1"/>
  <c r="AE42" i="1"/>
  <c r="AE45" i="1" s="1"/>
  <c r="AE39" i="1"/>
  <c r="AE38" i="1"/>
  <c r="AE315" i="1"/>
  <c r="AD522" i="1"/>
  <c r="AS522" i="1" s="1"/>
  <c r="AD468" i="1"/>
  <c r="AS468" i="1" s="1"/>
  <c r="AD414" i="1"/>
  <c r="AS414" i="1" s="1"/>
  <c r="AD360" i="1"/>
  <c r="AS360" i="1" s="1"/>
  <c r="AD306" i="1"/>
  <c r="AS306" i="1" s="1"/>
  <c r="AD252" i="1"/>
  <c r="AD198" i="1"/>
  <c r="AS198" i="1" s="1"/>
  <c r="AD144" i="1"/>
  <c r="AD90" i="1"/>
  <c r="AD36" i="1"/>
  <c r="B522" i="1"/>
  <c r="B468" i="1"/>
  <c r="B414" i="1"/>
  <c r="B360" i="1"/>
  <c r="B306" i="1"/>
  <c r="B252" i="1"/>
  <c r="B198" i="1"/>
  <c r="B144" i="1"/>
  <c r="B90" i="1"/>
  <c r="B36" i="1"/>
  <c r="AT525" i="1"/>
  <c r="AT524" i="1"/>
  <c r="AT471" i="1"/>
  <c r="AT470" i="1"/>
  <c r="AT417" i="1"/>
  <c r="AT416" i="1"/>
  <c r="AT363" i="1"/>
  <c r="AT362" i="1"/>
  <c r="AT309" i="1"/>
  <c r="AT308" i="1"/>
  <c r="AT255" i="1"/>
  <c r="AT254" i="1"/>
  <c r="AT201" i="1"/>
  <c r="AT200" i="1"/>
  <c r="AT147" i="1"/>
  <c r="AT146" i="1"/>
  <c r="AT93" i="1"/>
  <c r="AT92" i="1"/>
  <c r="AT39" i="1"/>
  <c r="AT38" i="1"/>
  <c r="AS36" i="1"/>
  <c r="Q54" i="25" l="1"/>
  <c r="Q77" i="25"/>
  <c r="I52" i="25"/>
  <c r="Q101" i="25"/>
  <c r="I48" i="25"/>
  <c r="Q97" i="25"/>
  <c r="Q73" i="25"/>
  <c r="Q44" i="25"/>
  <c r="I42" i="25"/>
  <c r="Q67" i="25"/>
  <c r="Q91" i="25"/>
  <c r="Q76" i="25"/>
  <c r="I51" i="25"/>
  <c r="Q100" i="25"/>
  <c r="I54" i="25"/>
  <c r="Q79" i="25"/>
  <c r="Q103" i="25"/>
  <c r="Q81" i="25"/>
  <c r="Q105" i="25"/>
  <c r="I56" i="25"/>
  <c r="Q98" i="25"/>
  <c r="Q74" i="25"/>
  <c r="I49" i="25"/>
  <c r="I55" i="25"/>
  <c r="Q80" i="25"/>
  <c r="Q104" i="25"/>
  <c r="Q99" i="25"/>
  <c r="Q75" i="25"/>
  <c r="I50" i="25"/>
  <c r="Q71" i="25"/>
  <c r="I46" i="25"/>
  <c r="Q95" i="25"/>
  <c r="I45" i="25"/>
  <c r="Q94" i="25"/>
  <c r="Q70" i="25"/>
  <c r="Q69" i="25"/>
  <c r="Q93" i="25"/>
  <c r="I44" i="25"/>
  <c r="Q90" i="25"/>
  <c r="Q66" i="25"/>
  <c r="I41" i="25"/>
  <c r="Q65" i="25"/>
  <c r="I40" i="25"/>
  <c r="Q89" i="25"/>
  <c r="I39" i="25"/>
  <c r="Q64" i="25"/>
  <c r="Q88" i="25"/>
  <c r="R24" i="25"/>
  <c r="G58" i="25" s="1"/>
  <c r="U53" i="25" s="1"/>
  <c r="T63" i="25"/>
  <c r="T87" i="25"/>
  <c r="E60" i="25"/>
  <c r="E53" i="25"/>
  <c r="E51" i="25"/>
  <c r="D60" i="25"/>
  <c r="D53" i="25"/>
  <c r="D51" i="25"/>
  <c r="D40" i="25"/>
  <c r="E47" i="25"/>
  <c r="E40" i="25"/>
  <c r="D47" i="25"/>
  <c r="AS90" i="1"/>
  <c r="AE43" i="1"/>
  <c r="AE97" i="1"/>
  <c r="AE151" i="1"/>
  <c r="AE205" i="1"/>
  <c r="AE259" i="1"/>
  <c r="AE313" i="1"/>
  <c r="AE367" i="1"/>
  <c r="AE421" i="1"/>
  <c r="AE475" i="1"/>
  <c r="AE529" i="1"/>
  <c r="AE46" i="1"/>
  <c r="AE100" i="1"/>
  <c r="AE154" i="1"/>
  <c r="AE208" i="1"/>
  <c r="AE262" i="1"/>
  <c r="AE316" i="1"/>
  <c r="AE370" i="1"/>
  <c r="AE424" i="1"/>
  <c r="AE478" i="1"/>
  <c r="AE532" i="1"/>
  <c r="AS252" i="1"/>
  <c r="AS144" i="1"/>
  <c r="Q68" i="25" l="1"/>
  <c r="I43" i="25"/>
  <c r="Q92" i="25"/>
  <c r="Q78" i="25"/>
  <c r="I53" i="25"/>
  <c r="Q102" i="25"/>
  <c r="M185" i="24"/>
  <c r="S24" i="25" s="1"/>
  <c r="U101" i="25"/>
  <c r="U77" i="25"/>
  <c r="AE212" i="1"/>
  <c r="AE374" i="1"/>
  <c r="AE50" i="1"/>
  <c r="AE266" i="1"/>
  <c r="AE482" i="1"/>
  <c r="AE536" i="1"/>
  <c r="AE104" i="1"/>
  <c r="AE428" i="1"/>
  <c r="AE320" i="1"/>
  <c r="AE158" i="1"/>
  <c r="AJ377" i="3" l="1"/>
  <c r="AJ378" i="3" s="1"/>
  <c r="AJ375" i="3"/>
  <c r="AJ340" i="3"/>
  <c r="AJ341" i="3" s="1"/>
  <c r="AJ338" i="3"/>
  <c r="AJ303" i="3"/>
  <c r="AJ304" i="3" s="1"/>
  <c r="AJ301" i="3"/>
  <c r="AJ266" i="3"/>
  <c r="AJ267" i="3" s="1"/>
  <c r="AJ264" i="3"/>
  <c r="AJ229" i="3"/>
  <c r="AJ230" i="3" s="1"/>
  <c r="AJ227" i="3"/>
  <c r="AJ192" i="3"/>
  <c r="AJ193" i="3" s="1"/>
  <c r="AJ190" i="3"/>
  <c r="AJ155" i="3"/>
  <c r="AJ156" i="3" s="1"/>
  <c r="AJ153" i="3"/>
  <c r="AJ118" i="3"/>
  <c r="AJ119" i="3" s="1"/>
  <c r="AJ116" i="3"/>
  <c r="AJ81" i="3"/>
  <c r="AJ82" i="3" s="1"/>
  <c r="AJ79" i="3"/>
  <c r="AJ44" i="3"/>
  <c r="AJ45" i="3" s="1"/>
  <c r="AJ42" i="3"/>
  <c r="P153" i="2"/>
  <c r="S152" i="2" s="1"/>
  <c r="P24" i="2"/>
  <c r="S23" i="2" s="1"/>
  <c r="I28" i="21"/>
  <c r="I29" i="21"/>
  <c r="I14" i="21"/>
  <c r="I15" i="21"/>
  <c r="C14" i="21"/>
  <c r="C15" i="21"/>
  <c r="C29" i="21"/>
  <c r="C28" i="21"/>
  <c r="N23" i="2"/>
  <c r="Q24" i="2"/>
  <c r="R24" i="2"/>
  <c r="U24" i="2"/>
  <c r="Q25" i="2"/>
  <c r="R25" i="2"/>
  <c r="AA25" i="2" s="1"/>
  <c r="U25" i="2"/>
  <c r="N152" i="2"/>
  <c r="Q153" i="2"/>
  <c r="AA153" i="2" s="1"/>
  <c r="R153" i="2"/>
  <c r="U153" i="2"/>
  <c r="Q154" i="2"/>
  <c r="R154" i="2"/>
  <c r="U154" i="2"/>
  <c r="AA154" i="2" l="1"/>
  <c r="AA24" i="2"/>
  <c r="AJ234" i="3"/>
  <c r="AJ197" i="3"/>
  <c r="AJ160" i="3"/>
  <c r="AJ86" i="3"/>
  <c r="AJ123" i="3"/>
  <c r="AJ382" i="3"/>
  <c r="AJ49" i="3"/>
  <c r="AJ345" i="3"/>
  <c r="AJ308" i="3"/>
  <c r="AJ271" i="3"/>
  <c r="J60" i="25"/>
  <c r="K60" i="25"/>
  <c r="I62" i="25"/>
  <c r="J62" i="25"/>
  <c r="K62" i="25"/>
  <c r="I63" i="25"/>
  <c r="J63" i="25"/>
  <c r="K63" i="25"/>
  <c r="I64" i="25"/>
  <c r="J64" i="25"/>
  <c r="K64" i="25"/>
  <c r="I65" i="25"/>
  <c r="J65" i="25"/>
  <c r="K65" i="25"/>
  <c r="I66" i="25"/>
  <c r="J66" i="25"/>
  <c r="K66" i="25"/>
  <c r="I67" i="25"/>
  <c r="J67" i="25"/>
  <c r="K67" i="25"/>
  <c r="I68" i="25"/>
  <c r="J68" i="25"/>
  <c r="K68" i="25"/>
  <c r="I69" i="25"/>
  <c r="J69" i="25"/>
  <c r="K69" i="25"/>
  <c r="I70" i="25"/>
  <c r="J70" i="25"/>
  <c r="K70" i="25"/>
  <c r="I71" i="25"/>
  <c r="J71" i="25"/>
  <c r="K71" i="25"/>
  <c r="J59" i="25"/>
  <c r="K59" i="25"/>
  <c r="I60" i="25"/>
  <c r="O44" i="25" l="1"/>
  <c r="C534" i="1" l="1"/>
  <c r="C528" i="1"/>
  <c r="C525" i="1"/>
  <c r="C524" i="1"/>
  <c r="C480" i="1"/>
  <c r="C474" i="1"/>
  <c r="C471" i="1"/>
  <c r="C470" i="1"/>
  <c r="C426" i="1"/>
  <c r="C420" i="1"/>
  <c r="C417" i="1"/>
  <c r="C416" i="1"/>
  <c r="C372" i="1"/>
  <c r="C366" i="1"/>
  <c r="C363" i="1"/>
  <c r="C362" i="1"/>
  <c r="C318" i="1"/>
  <c r="C312" i="1"/>
  <c r="C309" i="1"/>
  <c r="C308" i="1"/>
  <c r="C264" i="1"/>
  <c r="C258" i="1"/>
  <c r="C255" i="1"/>
  <c r="C254" i="1"/>
  <c r="C210" i="1"/>
  <c r="C204" i="1"/>
  <c r="C201" i="1"/>
  <c r="C200" i="1"/>
  <c r="C156" i="1"/>
  <c r="C150" i="1"/>
  <c r="C147" i="1"/>
  <c r="C146" i="1"/>
  <c r="C102" i="1"/>
  <c r="C96" i="1"/>
  <c r="C93" i="1"/>
  <c r="C92" i="1"/>
  <c r="C48" i="1"/>
  <c r="C42" i="1"/>
  <c r="O87" i="24" l="1"/>
  <c r="P87" i="24"/>
  <c r="Q87" i="24"/>
  <c r="R87" i="24"/>
  <c r="S87" i="24"/>
  <c r="T87" i="24"/>
  <c r="U87" i="24"/>
  <c r="V87" i="24"/>
  <c r="W87" i="24"/>
  <c r="X87" i="24"/>
  <c r="Y87" i="24"/>
  <c r="Z87" i="24"/>
  <c r="AA87" i="24"/>
  <c r="AB87" i="24"/>
  <c r="N87" i="24"/>
  <c r="J123" i="24"/>
  <c r="J131" i="24" l="1"/>
  <c r="J150" i="24"/>
  <c r="J154" i="24"/>
  <c r="J152" i="24"/>
  <c r="J148" i="24"/>
  <c r="J158" i="24"/>
  <c r="J147" i="24"/>
  <c r="J157" i="24"/>
  <c r="J155" i="24"/>
  <c r="J151" i="24"/>
  <c r="J128" i="24"/>
  <c r="J135" i="24"/>
  <c r="J138" i="24"/>
  <c r="J132" i="24"/>
  <c r="J133" i="24"/>
  <c r="J136" i="24"/>
  <c r="J139" i="24"/>
  <c r="J129" i="24"/>
  <c r="M166" i="24" l="1"/>
  <c r="S5" i="25" s="1"/>
  <c r="R5" i="25"/>
  <c r="G39" i="25" s="1"/>
  <c r="U39" i="25" s="1"/>
  <c r="R12" i="25"/>
  <c r="G46" i="25" s="1"/>
  <c r="U45" i="25" s="1"/>
  <c r="R21" i="25"/>
  <c r="G55" i="25" s="1"/>
  <c r="N89" i="24"/>
  <c r="N129" i="24" s="1"/>
  <c r="E89" i="24"/>
  <c r="J94" i="24"/>
  <c r="L89" i="24"/>
  <c r="M173" i="24" l="1"/>
  <c r="S12" i="25" s="1"/>
  <c r="M186" i="24"/>
  <c r="S25" i="25" s="1"/>
  <c r="R25" i="25"/>
  <c r="G59" i="25" s="1"/>
  <c r="U55" i="25" s="1"/>
  <c r="M179" i="24"/>
  <c r="S18" i="25" s="1"/>
  <c r="R18" i="25"/>
  <c r="G52" i="25" s="1"/>
  <c r="U49" i="25" s="1"/>
  <c r="U87" i="25"/>
  <c r="U63" i="25"/>
  <c r="U93" i="25"/>
  <c r="U69" i="25"/>
  <c r="R19" i="25"/>
  <c r="G53" i="25" s="1"/>
  <c r="U50" i="25" s="1"/>
  <c r="M180" i="24"/>
  <c r="S19" i="25" s="1"/>
  <c r="R29" i="25"/>
  <c r="G63" i="25" s="1"/>
  <c r="K94" i="24"/>
  <c r="U73" i="25" l="1"/>
  <c r="U97" i="25"/>
  <c r="U79" i="25"/>
  <c r="U103" i="25"/>
  <c r="M187" i="24"/>
  <c r="S26" i="25" s="1"/>
  <c r="R26" i="25"/>
  <c r="G60" i="25" s="1"/>
  <c r="U57" i="25" s="1"/>
  <c r="U98" i="25"/>
  <c r="U74" i="25"/>
  <c r="R28" i="25"/>
  <c r="G62" i="25" s="1"/>
  <c r="R22" i="25"/>
  <c r="G56" i="25" s="1"/>
  <c r="U51" i="25" s="1"/>
  <c r="U54" i="25" s="1"/>
  <c r="R23" i="25"/>
  <c r="G57" i="25" s="1"/>
  <c r="U52" i="25" s="1"/>
  <c r="P116" i="2"/>
  <c r="U102" i="25" l="1"/>
  <c r="U78" i="25"/>
  <c r="U56" i="25"/>
  <c r="U104" i="25" s="1"/>
  <c r="U105" i="25"/>
  <c r="U81" i="25"/>
  <c r="U80" i="25"/>
  <c r="U100" i="25"/>
  <c r="U76" i="25"/>
  <c r="U75" i="25"/>
  <c r="U99" i="25"/>
  <c r="D5" i="2" l="1"/>
  <c r="N1" i="25"/>
  <c r="O1" i="25"/>
  <c r="P1" i="25"/>
  <c r="Q1" i="25"/>
  <c r="R1" i="25"/>
  <c r="S1" i="25"/>
  <c r="N2" i="25"/>
  <c r="O2" i="25"/>
  <c r="P2" i="25"/>
  <c r="Q2" i="25"/>
  <c r="R2" i="25"/>
  <c r="S2" i="25"/>
  <c r="N3" i="25"/>
  <c r="O3" i="25"/>
  <c r="P3" i="25"/>
  <c r="Q3" i="25"/>
  <c r="R3" i="25"/>
  <c r="S3" i="25"/>
  <c r="N4" i="25"/>
  <c r="O4" i="25"/>
  <c r="P4" i="25"/>
  <c r="Q4" i="25"/>
  <c r="R4" i="25"/>
  <c r="S4" i="25"/>
  <c r="O89" i="24"/>
  <c r="O129" i="24" s="1"/>
  <c r="P89" i="24"/>
  <c r="P129" i="24" s="1"/>
  <c r="Q89" i="24"/>
  <c r="Q129" i="24" s="1"/>
  <c r="R89" i="24"/>
  <c r="R129" i="24" s="1"/>
  <c r="S89" i="24"/>
  <c r="S129" i="24" s="1"/>
  <c r="T89" i="24"/>
  <c r="T129" i="24" s="1"/>
  <c r="U89" i="24"/>
  <c r="U129" i="24" s="1"/>
  <c r="V89" i="24"/>
  <c r="V129" i="24" s="1"/>
  <c r="W89" i="24"/>
  <c r="W129" i="24" s="1"/>
  <c r="X89" i="24"/>
  <c r="X129" i="24" s="1"/>
  <c r="Y89" i="24"/>
  <c r="Y129" i="24" s="1"/>
  <c r="Z89" i="24"/>
  <c r="Z129" i="24" s="1"/>
  <c r="AA89" i="24"/>
  <c r="AA129" i="24" s="1"/>
  <c r="AB89" i="24"/>
  <c r="AB129" i="24" s="1"/>
  <c r="N91" i="24"/>
  <c r="N131" i="24" s="1"/>
  <c r="O91" i="24"/>
  <c r="O131" i="24" s="1"/>
  <c r="P91" i="24"/>
  <c r="P131" i="24" s="1"/>
  <c r="Q91" i="24"/>
  <c r="Q131" i="24" s="1"/>
  <c r="R91" i="24"/>
  <c r="R131" i="24" s="1"/>
  <c r="S91" i="24"/>
  <c r="S131" i="24" s="1"/>
  <c r="T91" i="24"/>
  <c r="T131" i="24" s="1"/>
  <c r="U91" i="24"/>
  <c r="U131" i="24" s="1"/>
  <c r="V91" i="24"/>
  <c r="V131" i="24" s="1"/>
  <c r="W91" i="24"/>
  <c r="W131" i="24" s="1"/>
  <c r="X91" i="24"/>
  <c r="X131" i="24" s="1"/>
  <c r="Y91" i="24"/>
  <c r="Y131" i="24" s="1"/>
  <c r="Z91" i="24"/>
  <c r="Z131" i="24" s="1"/>
  <c r="AA91" i="24"/>
  <c r="AA131" i="24" s="1"/>
  <c r="AB91" i="24"/>
  <c r="AB131" i="24" s="1"/>
  <c r="N92" i="24"/>
  <c r="N132" i="24" s="1"/>
  <c r="O92" i="24"/>
  <c r="O132" i="24" s="1"/>
  <c r="P92" i="24"/>
  <c r="P132" i="24" s="1"/>
  <c r="Q92" i="24"/>
  <c r="Q132" i="24" s="1"/>
  <c r="R92" i="24"/>
  <c r="R132" i="24" s="1"/>
  <c r="S92" i="24"/>
  <c r="S132" i="24" s="1"/>
  <c r="T92" i="24"/>
  <c r="T132" i="24" s="1"/>
  <c r="U92" i="24"/>
  <c r="U132" i="24" s="1"/>
  <c r="V92" i="24"/>
  <c r="V132" i="24" s="1"/>
  <c r="W92" i="24"/>
  <c r="W132" i="24" s="1"/>
  <c r="X92" i="24"/>
  <c r="X132" i="24" s="1"/>
  <c r="Y92" i="24"/>
  <c r="Y132" i="24" s="1"/>
  <c r="Z92" i="24"/>
  <c r="Z132" i="24" s="1"/>
  <c r="AA92" i="24"/>
  <c r="AA132" i="24" s="1"/>
  <c r="AB92" i="24"/>
  <c r="AB132" i="24" s="1"/>
  <c r="N93" i="24"/>
  <c r="N133" i="24" s="1"/>
  <c r="O93" i="24"/>
  <c r="O133" i="24" s="1"/>
  <c r="P93" i="24"/>
  <c r="P133" i="24" s="1"/>
  <c r="Q93" i="24"/>
  <c r="Q133" i="24" s="1"/>
  <c r="R93" i="24"/>
  <c r="R133" i="24" s="1"/>
  <c r="S93" i="24"/>
  <c r="S133" i="24" s="1"/>
  <c r="T93" i="24"/>
  <c r="T133" i="24" s="1"/>
  <c r="U93" i="24"/>
  <c r="U133" i="24" s="1"/>
  <c r="V93" i="24"/>
  <c r="V133" i="24" s="1"/>
  <c r="W93" i="24"/>
  <c r="W133" i="24" s="1"/>
  <c r="X93" i="24"/>
  <c r="X133" i="24" s="1"/>
  <c r="Y93" i="24"/>
  <c r="Y133" i="24" s="1"/>
  <c r="Z93" i="24"/>
  <c r="Z133" i="24" s="1"/>
  <c r="AA93" i="24"/>
  <c r="AA133" i="24" s="1"/>
  <c r="AB93" i="24"/>
  <c r="AB133" i="24" s="1"/>
  <c r="N94" i="24"/>
  <c r="N134" i="24" s="1"/>
  <c r="O94" i="24"/>
  <c r="O134" i="24" s="1"/>
  <c r="P94" i="24"/>
  <c r="P134" i="24" s="1"/>
  <c r="Q94" i="24"/>
  <c r="Q134" i="24" s="1"/>
  <c r="R94" i="24"/>
  <c r="R134" i="24" s="1"/>
  <c r="S94" i="24"/>
  <c r="S134" i="24" s="1"/>
  <c r="T94" i="24"/>
  <c r="T134" i="24" s="1"/>
  <c r="U94" i="24"/>
  <c r="U134" i="24" s="1"/>
  <c r="V94" i="24"/>
  <c r="V134" i="24" s="1"/>
  <c r="W94" i="24"/>
  <c r="W134" i="24" s="1"/>
  <c r="X94" i="24"/>
  <c r="X134" i="24" s="1"/>
  <c r="Y94" i="24"/>
  <c r="Y134" i="24" s="1"/>
  <c r="Z94" i="24"/>
  <c r="Z134" i="24" s="1"/>
  <c r="AA94" i="24"/>
  <c r="AA134" i="24" s="1"/>
  <c r="AB94" i="24"/>
  <c r="AB134" i="24" s="1"/>
  <c r="N96" i="24"/>
  <c r="N136" i="24" s="1"/>
  <c r="O96" i="24"/>
  <c r="O136" i="24" s="1"/>
  <c r="P96" i="24"/>
  <c r="P136" i="24" s="1"/>
  <c r="Q96" i="24"/>
  <c r="Q136" i="24" s="1"/>
  <c r="R96" i="24"/>
  <c r="R136" i="24" s="1"/>
  <c r="S96" i="24"/>
  <c r="S136" i="24" s="1"/>
  <c r="T96" i="24"/>
  <c r="T136" i="24" s="1"/>
  <c r="U96" i="24"/>
  <c r="U136" i="24" s="1"/>
  <c r="V96" i="24"/>
  <c r="V136" i="24" s="1"/>
  <c r="W96" i="24"/>
  <c r="W136" i="24" s="1"/>
  <c r="X96" i="24"/>
  <c r="X136" i="24" s="1"/>
  <c r="Y96" i="24"/>
  <c r="Y136" i="24" s="1"/>
  <c r="Z96" i="24"/>
  <c r="Z136" i="24" s="1"/>
  <c r="AA96" i="24"/>
  <c r="AA136" i="24" s="1"/>
  <c r="AB96" i="24"/>
  <c r="AB136" i="24" s="1"/>
  <c r="N98" i="24"/>
  <c r="N138" i="24" s="1"/>
  <c r="O98" i="24"/>
  <c r="O138" i="24" s="1"/>
  <c r="P98" i="24"/>
  <c r="P138" i="24" s="1"/>
  <c r="Q98" i="24"/>
  <c r="Q138" i="24" s="1"/>
  <c r="R98" i="24"/>
  <c r="R138" i="24" s="1"/>
  <c r="S98" i="24"/>
  <c r="S138" i="24" s="1"/>
  <c r="T98" i="24"/>
  <c r="T138" i="24" s="1"/>
  <c r="U98" i="24"/>
  <c r="U138" i="24" s="1"/>
  <c r="V98" i="24"/>
  <c r="V138" i="24" s="1"/>
  <c r="W98" i="24"/>
  <c r="W138" i="24" s="1"/>
  <c r="X98" i="24"/>
  <c r="X138" i="24" s="1"/>
  <c r="Y98" i="24"/>
  <c r="Y138" i="24" s="1"/>
  <c r="Z98" i="24"/>
  <c r="Z138" i="24" s="1"/>
  <c r="AA98" i="24"/>
  <c r="AA138" i="24" s="1"/>
  <c r="AB98" i="24"/>
  <c r="AB138" i="24" s="1"/>
  <c r="N99" i="24"/>
  <c r="N139" i="24" s="1"/>
  <c r="O99" i="24"/>
  <c r="O139" i="24" s="1"/>
  <c r="P99" i="24"/>
  <c r="P139" i="24" s="1"/>
  <c r="Q99" i="24"/>
  <c r="Q139" i="24" s="1"/>
  <c r="R99" i="24"/>
  <c r="R139" i="24" s="1"/>
  <c r="S99" i="24"/>
  <c r="S139" i="24" s="1"/>
  <c r="T99" i="24"/>
  <c r="T139" i="24" s="1"/>
  <c r="U99" i="24"/>
  <c r="U139" i="24" s="1"/>
  <c r="V99" i="24"/>
  <c r="V139" i="24" s="1"/>
  <c r="W99" i="24"/>
  <c r="W139" i="24" s="1"/>
  <c r="X99" i="24"/>
  <c r="X139" i="24" s="1"/>
  <c r="Y99" i="24"/>
  <c r="Y139" i="24" s="1"/>
  <c r="Z99" i="24"/>
  <c r="Z139" i="24" s="1"/>
  <c r="AA99" i="24"/>
  <c r="AA139" i="24" s="1"/>
  <c r="AB99" i="24"/>
  <c r="AB139" i="24" s="1"/>
  <c r="F89" i="24"/>
  <c r="G89" i="24"/>
  <c r="H89" i="24"/>
  <c r="I89" i="24"/>
  <c r="J89" i="24"/>
  <c r="K89" i="24"/>
  <c r="M89" i="24"/>
  <c r="F91" i="24"/>
  <c r="G91" i="24"/>
  <c r="H91" i="24"/>
  <c r="I91" i="24"/>
  <c r="J91" i="24"/>
  <c r="K91" i="24"/>
  <c r="L91" i="24"/>
  <c r="M91" i="24"/>
  <c r="F92" i="24"/>
  <c r="G92" i="24"/>
  <c r="H92" i="24"/>
  <c r="I92" i="24"/>
  <c r="J92" i="24"/>
  <c r="K92" i="24"/>
  <c r="L92" i="24"/>
  <c r="M92" i="24"/>
  <c r="F93" i="24"/>
  <c r="G93" i="24"/>
  <c r="H93" i="24"/>
  <c r="I93" i="24"/>
  <c r="J93" i="24"/>
  <c r="K93" i="24"/>
  <c r="L93" i="24"/>
  <c r="M93" i="24"/>
  <c r="F94" i="24"/>
  <c r="G94" i="24"/>
  <c r="H94" i="24"/>
  <c r="I94" i="24"/>
  <c r="L94" i="24"/>
  <c r="D94" i="24" s="1"/>
  <c r="F96" i="24"/>
  <c r="G96" i="24"/>
  <c r="H96" i="24"/>
  <c r="I96" i="24"/>
  <c r="J96" i="24"/>
  <c r="K96" i="24"/>
  <c r="L96" i="24"/>
  <c r="M96" i="24"/>
  <c r="F98" i="24"/>
  <c r="G98" i="24"/>
  <c r="H98" i="24"/>
  <c r="I98" i="24"/>
  <c r="J98" i="24"/>
  <c r="K98" i="24"/>
  <c r="L98" i="24"/>
  <c r="M98" i="24"/>
  <c r="F99" i="24"/>
  <c r="G99" i="24"/>
  <c r="H99" i="24"/>
  <c r="I99" i="24"/>
  <c r="J99" i="24"/>
  <c r="K99" i="24"/>
  <c r="L99" i="24"/>
  <c r="M99" i="24"/>
  <c r="E99" i="24"/>
  <c r="E98" i="24"/>
  <c r="E96" i="24"/>
  <c r="E94" i="24"/>
  <c r="E93" i="24"/>
  <c r="E92" i="24"/>
  <c r="E91" i="24"/>
  <c r="R8" i="25" l="1"/>
  <c r="G42" i="25" s="1"/>
  <c r="R6" i="25"/>
  <c r="G40" i="25" s="1"/>
  <c r="R9" i="25"/>
  <c r="G43" i="25" s="1"/>
  <c r="R10" i="25"/>
  <c r="G44" i="25" s="1"/>
  <c r="R16" i="25"/>
  <c r="G50" i="25" s="1"/>
  <c r="D91" i="24"/>
  <c r="D93" i="24"/>
  <c r="R13" i="25"/>
  <c r="G47" i="25" s="1"/>
  <c r="D92" i="24"/>
  <c r="R15" i="25"/>
  <c r="G49" i="25" s="1"/>
  <c r="U46" i="25" s="1"/>
  <c r="D89" i="24"/>
  <c r="D96" i="24"/>
  <c r="D98" i="24"/>
  <c r="D99" i="24"/>
  <c r="R11" i="25"/>
  <c r="G45" i="25" s="1"/>
  <c r="U43" i="25" s="1"/>
  <c r="U42" i="25" l="1"/>
  <c r="U90" i="25" s="1"/>
  <c r="U41" i="25"/>
  <c r="U40" i="25"/>
  <c r="U88" i="25" s="1"/>
  <c r="U47" i="25"/>
  <c r="U94" i="25"/>
  <c r="U70" i="25"/>
  <c r="U71" i="25"/>
  <c r="U95" i="25"/>
  <c r="U91" i="25"/>
  <c r="U67" i="25"/>
  <c r="M167" i="24"/>
  <c r="M172" i="24"/>
  <c r="S11" i="25" s="1"/>
  <c r="M174" i="24"/>
  <c r="U89" i="25" l="1"/>
  <c r="U44" i="25"/>
  <c r="U65" i="25"/>
  <c r="U66" i="25"/>
  <c r="U64" i="25"/>
  <c r="S13" i="25"/>
  <c r="M190" i="24"/>
  <c r="S29" i="25" s="1"/>
  <c r="M189" i="24"/>
  <c r="S28" i="25" s="1"/>
  <c r="S6" i="25"/>
  <c r="M182" i="24"/>
  <c r="S21" i="25" s="1"/>
  <c r="M184" i="24"/>
  <c r="S23" i="25" s="1"/>
  <c r="M183" i="24"/>
  <c r="S22" i="25" s="1"/>
  <c r="M177" i="24"/>
  <c r="S16" i="25" s="1"/>
  <c r="M169" i="24"/>
  <c r="S8" i="25" s="1"/>
  <c r="M171" i="24"/>
  <c r="S10" i="25" s="1"/>
  <c r="M170" i="24"/>
  <c r="S9" i="25" s="1"/>
  <c r="M176" i="24"/>
  <c r="S15" i="25" s="1"/>
  <c r="U92" i="25" l="1"/>
  <c r="U68" i="25"/>
  <c r="P161" i="2" l="1"/>
  <c r="P32" i="2"/>
  <c r="P488" i="2"/>
  <c r="P470" i="2"/>
  <c r="P448" i="2"/>
  <c r="P430" i="2"/>
  <c r="P412" i="2"/>
  <c r="P374" i="2"/>
  <c r="P356" i="2"/>
  <c r="P334" i="2"/>
  <c r="P316" i="2"/>
  <c r="P298" i="2"/>
  <c r="I69" i="21"/>
  <c r="C69" i="21"/>
  <c r="Q393" i="2" l="1"/>
  <c r="R393" i="2"/>
  <c r="U393" i="2"/>
  <c r="V393" i="2"/>
  <c r="Y393" i="2"/>
  <c r="Q394" i="2"/>
  <c r="R394" i="2"/>
  <c r="U394" i="2"/>
  <c r="Q395" i="2"/>
  <c r="R395" i="2"/>
  <c r="U395" i="2"/>
  <c r="Q396" i="2"/>
  <c r="R396" i="2"/>
  <c r="U396" i="2"/>
  <c r="Q397" i="2"/>
  <c r="R397" i="2"/>
  <c r="U397" i="2"/>
  <c r="Q398" i="2"/>
  <c r="R398" i="2"/>
  <c r="T398" i="2"/>
  <c r="U398" i="2"/>
  <c r="Q399" i="2"/>
  <c r="R399" i="2"/>
  <c r="T399" i="2"/>
  <c r="U399" i="2"/>
  <c r="Q400" i="2"/>
  <c r="R400" i="2"/>
  <c r="T400" i="2"/>
  <c r="U400" i="2"/>
  <c r="Q401" i="2"/>
  <c r="R401" i="2"/>
  <c r="U401" i="2"/>
  <c r="V401" i="2"/>
  <c r="Q402" i="2"/>
  <c r="R402" i="2"/>
  <c r="T402" i="2"/>
  <c r="U402" i="2"/>
  <c r="Q403" i="2"/>
  <c r="R403" i="2"/>
  <c r="U403" i="2"/>
  <c r="V403" i="2"/>
  <c r="Q404" i="2"/>
  <c r="R404" i="2"/>
  <c r="T404" i="2"/>
  <c r="U404" i="2"/>
  <c r="Q405" i="2"/>
  <c r="R405" i="2"/>
  <c r="U405" i="2"/>
  <c r="V405" i="2"/>
  <c r="Y392" i="2"/>
  <c r="S391" i="2"/>
  <c r="U392" i="2"/>
  <c r="R392" i="2"/>
  <c r="Q392" i="2"/>
  <c r="E297" i="2"/>
  <c r="S297" i="2" s="1"/>
  <c r="G297" i="2"/>
  <c r="H297" i="2"/>
  <c r="I297" i="2"/>
  <c r="J297" i="2"/>
  <c r="D298" i="2"/>
  <c r="R298" i="2" s="1"/>
  <c r="G298" i="2"/>
  <c r="U298" i="2" s="1"/>
  <c r="J298" i="2"/>
  <c r="D299" i="2"/>
  <c r="R299" i="2" s="1"/>
  <c r="G299" i="2"/>
  <c r="U299" i="2" s="1"/>
  <c r="H299" i="2"/>
  <c r="V299" i="2" s="1"/>
  <c r="J299" i="2"/>
  <c r="D300" i="2"/>
  <c r="R300" i="2" s="1"/>
  <c r="G300" i="2"/>
  <c r="U300" i="2" s="1"/>
  <c r="J300" i="2"/>
  <c r="D301" i="2"/>
  <c r="R301" i="2" s="1"/>
  <c r="G301" i="2"/>
  <c r="U301" i="2" s="1"/>
  <c r="J301" i="2"/>
  <c r="D302" i="2"/>
  <c r="R302" i="2" s="1"/>
  <c r="G302" i="2"/>
  <c r="U302" i="2" s="1"/>
  <c r="J302" i="2"/>
  <c r="D303" i="2"/>
  <c r="R303" i="2" s="1"/>
  <c r="G303" i="2"/>
  <c r="U303" i="2" s="1"/>
  <c r="J303" i="2"/>
  <c r="D304" i="2"/>
  <c r="R304" i="2" s="1"/>
  <c r="G304" i="2"/>
  <c r="U304" i="2" s="1"/>
  <c r="J304" i="2"/>
  <c r="D305" i="2"/>
  <c r="R305" i="2" s="1"/>
  <c r="F305" i="2"/>
  <c r="T305" i="2" s="1"/>
  <c r="G305" i="2"/>
  <c r="U305" i="2" s="1"/>
  <c r="J305" i="2"/>
  <c r="D306" i="2"/>
  <c r="R306" i="2" s="1"/>
  <c r="F306" i="2"/>
  <c r="T306" i="2" s="1"/>
  <c r="G306" i="2"/>
  <c r="U306" i="2" s="1"/>
  <c r="J306" i="2"/>
  <c r="D307" i="2"/>
  <c r="R307" i="2" s="1"/>
  <c r="F307" i="2"/>
  <c r="T307" i="2" s="1"/>
  <c r="G307" i="2"/>
  <c r="U307" i="2" s="1"/>
  <c r="J307" i="2"/>
  <c r="D308" i="2"/>
  <c r="R308" i="2" s="1"/>
  <c r="G308" i="2"/>
  <c r="U308" i="2" s="1"/>
  <c r="H308" i="2"/>
  <c r="V308" i="2" s="1"/>
  <c r="J308" i="2"/>
  <c r="D309" i="2"/>
  <c r="R309" i="2" s="1"/>
  <c r="F309" i="2"/>
  <c r="T309" i="2" s="1"/>
  <c r="G309" i="2"/>
  <c r="U309" i="2" s="1"/>
  <c r="J309" i="2"/>
  <c r="D310" i="2"/>
  <c r="R310" i="2" s="1"/>
  <c r="G310" i="2"/>
  <c r="U310" i="2" s="1"/>
  <c r="H310" i="2"/>
  <c r="V310" i="2" s="1"/>
  <c r="J310" i="2"/>
  <c r="D311" i="2"/>
  <c r="R311" i="2" s="1"/>
  <c r="F311" i="2"/>
  <c r="T311" i="2" s="1"/>
  <c r="G311" i="2"/>
  <c r="U311" i="2" s="1"/>
  <c r="J311" i="2"/>
  <c r="D312" i="2"/>
  <c r="R312" i="2" s="1"/>
  <c r="G312" i="2"/>
  <c r="U312" i="2" s="1"/>
  <c r="H312" i="2"/>
  <c r="V312" i="2" s="1"/>
  <c r="J312" i="2"/>
  <c r="D313" i="2"/>
  <c r="R313" i="2" s="1"/>
  <c r="G313" i="2"/>
  <c r="U313" i="2" s="1"/>
  <c r="H313" i="2"/>
  <c r="V313" i="2" s="1"/>
  <c r="J313" i="2"/>
  <c r="C297" i="2"/>
  <c r="C298" i="2"/>
  <c r="Q298" i="2" s="1"/>
  <c r="C299" i="2"/>
  <c r="Q299" i="2" s="1"/>
  <c r="C300" i="2"/>
  <c r="Q300" i="2" s="1"/>
  <c r="C301" i="2"/>
  <c r="Q301" i="2" s="1"/>
  <c r="C302" i="2"/>
  <c r="Q302" i="2" s="1"/>
  <c r="C303" i="2"/>
  <c r="Q303" i="2" s="1"/>
  <c r="C304" i="2"/>
  <c r="Q304" i="2" s="1"/>
  <c r="C305" i="2"/>
  <c r="Q305" i="2" s="1"/>
  <c r="C306" i="2"/>
  <c r="Q306" i="2" s="1"/>
  <c r="C307" i="2"/>
  <c r="Q307" i="2" s="1"/>
  <c r="C308" i="2"/>
  <c r="Q308" i="2" s="1"/>
  <c r="C309" i="2"/>
  <c r="Q309" i="2" s="1"/>
  <c r="AA309" i="2" s="1"/>
  <c r="C310" i="2"/>
  <c r="Q310" i="2" s="1"/>
  <c r="C311" i="2"/>
  <c r="Q311" i="2" s="1"/>
  <c r="C312" i="2"/>
  <c r="Q312" i="2" s="1"/>
  <c r="C313" i="2"/>
  <c r="Q313" i="2" s="1"/>
  <c r="C296" i="2"/>
  <c r="N297" i="2" s="1"/>
  <c r="Q279" i="2"/>
  <c r="R279" i="2"/>
  <c r="U279" i="2"/>
  <c r="V279" i="2"/>
  <c r="Y279" i="2"/>
  <c r="Q280" i="2"/>
  <c r="R280" i="2"/>
  <c r="U280" i="2"/>
  <c r="Q281" i="2"/>
  <c r="R281" i="2"/>
  <c r="U281" i="2"/>
  <c r="Q282" i="2"/>
  <c r="R282" i="2"/>
  <c r="U282" i="2"/>
  <c r="Q283" i="2"/>
  <c r="R283" i="2"/>
  <c r="U283" i="2"/>
  <c r="Q284" i="2"/>
  <c r="R284" i="2"/>
  <c r="T284" i="2"/>
  <c r="U284" i="2"/>
  <c r="Q285" i="2"/>
  <c r="R285" i="2"/>
  <c r="T285" i="2"/>
  <c r="U285" i="2"/>
  <c r="Q286" i="2"/>
  <c r="R286" i="2"/>
  <c r="T286" i="2"/>
  <c r="U286" i="2"/>
  <c r="Q287" i="2"/>
  <c r="R287" i="2"/>
  <c r="U287" i="2"/>
  <c r="V287" i="2"/>
  <c r="Q288" i="2"/>
  <c r="R288" i="2"/>
  <c r="T288" i="2"/>
  <c r="U288" i="2"/>
  <c r="Q289" i="2"/>
  <c r="R289" i="2"/>
  <c r="U289" i="2"/>
  <c r="V289" i="2"/>
  <c r="Q290" i="2"/>
  <c r="R290" i="2"/>
  <c r="T290" i="2"/>
  <c r="U290" i="2"/>
  <c r="Q291" i="2"/>
  <c r="R291" i="2"/>
  <c r="U291" i="2"/>
  <c r="V291" i="2"/>
  <c r="W291" i="2"/>
  <c r="Y278" i="2"/>
  <c r="S277" i="2"/>
  <c r="U278" i="2"/>
  <c r="R278" i="2"/>
  <c r="Q278" i="2"/>
  <c r="E465" i="2"/>
  <c r="S465" i="2" s="1"/>
  <c r="G465" i="2"/>
  <c r="H465" i="2"/>
  <c r="I465" i="2"/>
  <c r="J465" i="2"/>
  <c r="D466" i="2"/>
  <c r="R466" i="2" s="1"/>
  <c r="F466" i="2"/>
  <c r="T466" i="2" s="1"/>
  <c r="G466" i="2"/>
  <c r="U466" i="2" s="1"/>
  <c r="J466" i="2"/>
  <c r="D467" i="2"/>
  <c r="R467" i="2" s="1"/>
  <c r="F467" i="2"/>
  <c r="T467" i="2" s="1"/>
  <c r="G467" i="2"/>
  <c r="U467" i="2" s="1"/>
  <c r="J467" i="2"/>
  <c r="E469" i="2"/>
  <c r="S469" i="2" s="1"/>
  <c r="G469" i="2"/>
  <c r="H469" i="2"/>
  <c r="I469" i="2"/>
  <c r="J469" i="2"/>
  <c r="D470" i="2"/>
  <c r="R488" i="2" s="1"/>
  <c r="G470" i="2"/>
  <c r="U488" i="2" s="1"/>
  <c r="J470" i="2"/>
  <c r="K470" i="2"/>
  <c r="Y488" i="2" s="1"/>
  <c r="D471" i="2"/>
  <c r="R489" i="2" s="1"/>
  <c r="G471" i="2"/>
  <c r="U471" i="2" s="1"/>
  <c r="H471" i="2"/>
  <c r="V471" i="2" s="1"/>
  <c r="J471" i="2"/>
  <c r="K471" i="2"/>
  <c r="Y471" i="2" s="1"/>
  <c r="D472" i="2"/>
  <c r="R490" i="2" s="1"/>
  <c r="G472" i="2"/>
  <c r="U472" i="2" s="1"/>
  <c r="J472" i="2"/>
  <c r="D473" i="2"/>
  <c r="R491" i="2" s="1"/>
  <c r="G473" i="2"/>
  <c r="U473" i="2" s="1"/>
  <c r="J473" i="2"/>
  <c r="D474" i="2"/>
  <c r="R492" i="2" s="1"/>
  <c r="G474" i="2"/>
  <c r="U474" i="2" s="1"/>
  <c r="J474" i="2"/>
  <c r="D475" i="2"/>
  <c r="R493" i="2" s="1"/>
  <c r="G475" i="2"/>
  <c r="U475" i="2" s="1"/>
  <c r="J475" i="2"/>
  <c r="D476" i="2"/>
  <c r="R494" i="2" s="1"/>
  <c r="G476" i="2"/>
  <c r="U476" i="2" s="1"/>
  <c r="J476" i="2"/>
  <c r="D477" i="2"/>
  <c r="R477" i="2" s="1"/>
  <c r="F477" i="2"/>
  <c r="T477" i="2" s="1"/>
  <c r="G477" i="2"/>
  <c r="U495" i="2" s="1"/>
  <c r="J477" i="2"/>
  <c r="D478" i="2"/>
  <c r="R478" i="2" s="1"/>
  <c r="F478" i="2"/>
  <c r="T478" i="2" s="1"/>
  <c r="G478" i="2"/>
  <c r="U496" i="2" s="1"/>
  <c r="J478" i="2"/>
  <c r="D479" i="2"/>
  <c r="R479" i="2" s="1"/>
  <c r="F479" i="2"/>
  <c r="T479" i="2" s="1"/>
  <c r="G479" i="2"/>
  <c r="U479" i="2" s="1"/>
  <c r="J479" i="2"/>
  <c r="D480" i="2"/>
  <c r="R480" i="2" s="1"/>
  <c r="G480" i="2"/>
  <c r="U498" i="2" s="1"/>
  <c r="H480" i="2"/>
  <c r="V498" i="2" s="1"/>
  <c r="J480" i="2"/>
  <c r="D481" i="2"/>
  <c r="R481" i="2" s="1"/>
  <c r="F481" i="2"/>
  <c r="T481" i="2" s="1"/>
  <c r="G481" i="2"/>
  <c r="U499" i="2" s="1"/>
  <c r="J481" i="2"/>
  <c r="D482" i="2"/>
  <c r="R482" i="2" s="1"/>
  <c r="G482" i="2"/>
  <c r="U500" i="2" s="1"/>
  <c r="H482" i="2"/>
  <c r="V500" i="2" s="1"/>
  <c r="J482" i="2"/>
  <c r="D483" i="2"/>
  <c r="R483" i="2" s="1"/>
  <c r="F483" i="2"/>
  <c r="T501" i="2" s="1"/>
  <c r="G483" i="2"/>
  <c r="U501" i="2" s="1"/>
  <c r="J483" i="2"/>
  <c r="D484" i="2"/>
  <c r="R502" i="2" s="1"/>
  <c r="G484" i="2"/>
  <c r="U502" i="2" s="1"/>
  <c r="H484" i="2"/>
  <c r="V502" i="2" s="1"/>
  <c r="J484" i="2"/>
  <c r="D485" i="2"/>
  <c r="R503" i="2" s="1"/>
  <c r="G485" i="2"/>
  <c r="U485" i="2" s="1"/>
  <c r="H485" i="2"/>
  <c r="V485" i="2" s="1"/>
  <c r="J485" i="2"/>
  <c r="C483" i="2"/>
  <c r="Q483" i="2" s="1"/>
  <c r="C484" i="2"/>
  <c r="Q484" i="2" s="1"/>
  <c r="C485" i="2"/>
  <c r="Q485" i="2" s="1"/>
  <c r="C479" i="2"/>
  <c r="Q497" i="2" s="1"/>
  <c r="C480" i="2"/>
  <c r="Q480" i="2" s="1"/>
  <c r="C481" i="2"/>
  <c r="Q481" i="2" s="1"/>
  <c r="C482" i="2"/>
  <c r="Q482" i="2" s="1"/>
  <c r="C465" i="2"/>
  <c r="C466" i="2"/>
  <c r="Q466" i="2" s="1"/>
  <c r="AA466" i="2" s="1"/>
  <c r="C467" i="2"/>
  <c r="Q467" i="2" s="1"/>
  <c r="C468" i="2"/>
  <c r="N487" i="2" s="1"/>
  <c r="C469" i="2"/>
  <c r="C470" i="2"/>
  <c r="Q488" i="2" s="1"/>
  <c r="AA488" i="2" s="1"/>
  <c r="C471" i="2"/>
  <c r="Q489" i="2" s="1"/>
  <c r="C472" i="2"/>
  <c r="Q490" i="2" s="1"/>
  <c r="C473" i="2"/>
  <c r="Q491" i="2" s="1"/>
  <c r="C474" i="2"/>
  <c r="Q492" i="2" s="1"/>
  <c r="C475" i="2"/>
  <c r="Q493" i="2" s="1"/>
  <c r="C476" i="2"/>
  <c r="Q494" i="2" s="1"/>
  <c r="C477" i="2"/>
  <c r="Q495" i="2" s="1"/>
  <c r="C478" i="2"/>
  <c r="Q496" i="2" s="1"/>
  <c r="C464" i="2"/>
  <c r="N465" i="2" s="1"/>
  <c r="E407" i="2"/>
  <c r="S407" i="2" s="1"/>
  <c r="G407" i="2"/>
  <c r="H407" i="2"/>
  <c r="J407" i="2"/>
  <c r="D408" i="2"/>
  <c r="R408" i="2" s="1"/>
  <c r="G408" i="2"/>
  <c r="U408" i="2" s="1"/>
  <c r="J408" i="2"/>
  <c r="D409" i="2"/>
  <c r="R409" i="2" s="1"/>
  <c r="G409" i="2"/>
  <c r="U409" i="2" s="1"/>
  <c r="J409" i="2"/>
  <c r="E411" i="2"/>
  <c r="S411" i="2" s="1"/>
  <c r="G411" i="2"/>
  <c r="H411" i="2"/>
  <c r="I411" i="2"/>
  <c r="J411" i="2"/>
  <c r="D412" i="2"/>
  <c r="R412" i="2" s="1"/>
  <c r="G412" i="2"/>
  <c r="U412" i="2" s="1"/>
  <c r="J412" i="2"/>
  <c r="D413" i="2"/>
  <c r="R413" i="2" s="1"/>
  <c r="G413" i="2"/>
  <c r="U413" i="2" s="1"/>
  <c r="H413" i="2"/>
  <c r="V413" i="2" s="1"/>
  <c r="J413" i="2"/>
  <c r="D414" i="2"/>
  <c r="R414" i="2" s="1"/>
  <c r="G414" i="2"/>
  <c r="U414" i="2" s="1"/>
  <c r="J414" i="2"/>
  <c r="D415" i="2"/>
  <c r="R415" i="2" s="1"/>
  <c r="G415" i="2"/>
  <c r="U415" i="2" s="1"/>
  <c r="J415" i="2"/>
  <c r="D416" i="2"/>
  <c r="R416" i="2" s="1"/>
  <c r="G416" i="2"/>
  <c r="U416" i="2" s="1"/>
  <c r="J416" i="2"/>
  <c r="D417" i="2"/>
  <c r="R417" i="2" s="1"/>
  <c r="G417" i="2"/>
  <c r="U417" i="2" s="1"/>
  <c r="J417" i="2"/>
  <c r="D418" i="2"/>
  <c r="R418" i="2" s="1"/>
  <c r="G418" i="2"/>
  <c r="U418" i="2" s="1"/>
  <c r="J418" i="2"/>
  <c r="D419" i="2"/>
  <c r="R419" i="2" s="1"/>
  <c r="F419" i="2"/>
  <c r="T419" i="2" s="1"/>
  <c r="G419" i="2"/>
  <c r="U419" i="2" s="1"/>
  <c r="J419" i="2"/>
  <c r="D420" i="2"/>
  <c r="R420" i="2" s="1"/>
  <c r="F420" i="2"/>
  <c r="T420" i="2" s="1"/>
  <c r="G420" i="2"/>
  <c r="U420" i="2" s="1"/>
  <c r="J420" i="2"/>
  <c r="D421" i="2"/>
  <c r="R421" i="2" s="1"/>
  <c r="F421" i="2"/>
  <c r="T421" i="2" s="1"/>
  <c r="G421" i="2"/>
  <c r="U421" i="2" s="1"/>
  <c r="J421" i="2"/>
  <c r="D422" i="2"/>
  <c r="R422" i="2" s="1"/>
  <c r="G422" i="2"/>
  <c r="U422" i="2" s="1"/>
  <c r="H422" i="2"/>
  <c r="V422" i="2" s="1"/>
  <c r="J422" i="2"/>
  <c r="D423" i="2"/>
  <c r="R423" i="2" s="1"/>
  <c r="F423" i="2"/>
  <c r="T423" i="2" s="1"/>
  <c r="G423" i="2"/>
  <c r="U423" i="2" s="1"/>
  <c r="J423" i="2"/>
  <c r="D424" i="2"/>
  <c r="R424" i="2" s="1"/>
  <c r="G424" i="2"/>
  <c r="U424" i="2" s="1"/>
  <c r="H424" i="2"/>
  <c r="V424" i="2" s="1"/>
  <c r="J424" i="2"/>
  <c r="D425" i="2"/>
  <c r="R425" i="2" s="1"/>
  <c r="F425" i="2"/>
  <c r="T425" i="2" s="1"/>
  <c r="G425" i="2"/>
  <c r="U425" i="2" s="1"/>
  <c r="J425" i="2"/>
  <c r="D426" i="2"/>
  <c r="R426" i="2" s="1"/>
  <c r="G426" i="2"/>
  <c r="U426" i="2" s="1"/>
  <c r="H426" i="2"/>
  <c r="V426" i="2" s="1"/>
  <c r="J426" i="2"/>
  <c r="D427" i="2"/>
  <c r="R427" i="2" s="1"/>
  <c r="G427" i="2"/>
  <c r="U427" i="2" s="1"/>
  <c r="H427" i="2"/>
  <c r="V427" i="2" s="1"/>
  <c r="J427" i="2"/>
  <c r="C426" i="2"/>
  <c r="Q426" i="2" s="1"/>
  <c r="C427" i="2"/>
  <c r="Q427" i="2" s="1"/>
  <c r="C424" i="2"/>
  <c r="Q424" i="2" s="1"/>
  <c r="C425" i="2"/>
  <c r="Q425" i="2" s="1"/>
  <c r="C407" i="2"/>
  <c r="C408" i="2"/>
  <c r="Q408" i="2" s="1"/>
  <c r="C409" i="2"/>
  <c r="Q409" i="2" s="1"/>
  <c r="AA409" i="2" s="1"/>
  <c r="C410" i="2"/>
  <c r="N411" i="2" s="1"/>
  <c r="C411" i="2"/>
  <c r="C412" i="2"/>
  <c r="Q412" i="2" s="1"/>
  <c r="C413" i="2"/>
  <c r="Q413" i="2" s="1"/>
  <c r="C414" i="2"/>
  <c r="Q414" i="2" s="1"/>
  <c r="C415" i="2"/>
  <c r="Q415" i="2" s="1"/>
  <c r="C416" i="2"/>
  <c r="Q416" i="2" s="1"/>
  <c r="C417" i="2"/>
  <c r="Q417" i="2" s="1"/>
  <c r="AA417" i="2" s="1"/>
  <c r="C418" i="2"/>
  <c r="Q418" i="2" s="1"/>
  <c r="C419" i="2"/>
  <c r="Q419" i="2" s="1"/>
  <c r="C420" i="2"/>
  <c r="Q420" i="2" s="1"/>
  <c r="C421" i="2"/>
  <c r="Q421" i="2" s="1"/>
  <c r="C422" i="2"/>
  <c r="Q422" i="2" s="1"/>
  <c r="C423" i="2"/>
  <c r="Q423" i="2" s="1"/>
  <c r="AA423" i="2" s="1"/>
  <c r="C406" i="2"/>
  <c r="N407" i="2" s="1"/>
  <c r="E351" i="2"/>
  <c r="S351" i="2" s="1"/>
  <c r="G351" i="2"/>
  <c r="H351" i="2"/>
  <c r="I351" i="2"/>
  <c r="J351" i="2"/>
  <c r="D352" i="2"/>
  <c r="R352" i="2" s="1"/>
  <c r="F352" i="2"/>
  <c r="T352" i="2" s="1"/>
  <c r="G352" i="2"/>
  <c r="U352" i="2" s="1"/>
  <c r="J352" i="2"/>
  <c r="D353" i="2"/>
  <c r="R353" i="2" s="1"/>
  <c r="F353" i="2"/>
  <c r="T353" i="2" s="1"/>
  <c r="G353" i="2"/>
  <c r="U353" i="2" s="1"/>
  <c r="J353" i="2"/>
  <c r="E355" i="2"/>
  <c r="S355" i="2" s="1"/>
  <c r="G355" i="2"/>
  <c r="H355" i="2"/>
  <c r="I355" i="2"/>
  <c r="J355" i="2"/>
  <c r="D356" i="2"/>
  <c r="R356" i="2" s="1"/>
  <c r="G356" i="2"/>
  <c r="U356" i="2" s="1"/>
  <c r="J356" i="2"/>
  <c r="K356" i="2"/>
  <c r="Y356" i="2" s="1"/>
  <c r="D357" i="2"/>
  <c r="R357" i="2" s="1"/>
  <c r="G357" i="2"/>
  <c r="U357" i="2" s="1"/>
  <c r="H357" i="2"/>
  <c r="V357" i="2" s="1"/>
  <c r="J357" i="2"/>
  <c r="K357" i="2"/>
  <c r="Y357" i="2" s="1"/>
  <c r="D358" i="2"/>
  <c r="R358" i="2" s="1"/>
  <c r="G358" i="2"/>
  <c r="U358" i="2" s="1"/>
  <c r="J358" i="2"/>
  <c r="D359" i="2"/>
  <c r="R359" i="2" s="1"/>
  <c r="G359" i="2"/>
  <c r="U359" i="2" s="1"/>
  <c r="J359" i="2"/>
  <c r="D360" i="2"/>
  <c r="R360" i="2" s="1"/>
  <c r="G360" i="2"/>
  <c r="U360" i="2" s="1"/>
  <c r="J360" i="2"/>
  <c r="D361" i="2"/>
  <c r="R361" i="2" s="1"/>
  <c r="G361" i="2"/>
  <c r="U361" i="2" s="1"/>
  <c r="J361" i="2"/>
  <c r="D362" i="2"/>
  <c r="R362" i="2" s="1"/>
  <c r="G362" i="2"/>
  <c r="U362" i="2" s="1"/>
  <c r="J362" i="2"/>
  <c r="D363" i="2"/>
  <c r="R363" i="2" s="1"/>
  <c r="F363" i="2"/>
  <c r="T363" i="2" s="1"/>
  <c r="G363" i="2"/>
  <c r="U363" i="2" s="1"/>
  <c r="J363" i="2"/>
  <c r="D364" i="2"/>
  <c r="R364" i="2" s="1"/>
  <c r="F364" i="2"/>
  <c r="T364" i="2" s="1"/>
  <c r="G364" i="2"/>
  <c r="U364" i="2" s="1"/>
  <c r="J364" i="2"/>
  <c r="D365" i="2"/>
  <c r="R365" i="2" s="1"/>
  <c r="F365" i="2"/>
  <c r="T365" i="2" s="1"/>
  <c r="G365" i="2"/>
  <c r="U365" i="2" s="1"/>
  <c r="J365" i="2"/>
  <c r="D366" i="2"/>
  <c r="R366" i="2" s="1"/>
  <c r="G366" i="2"/>
  <c r="U366" i="2" s="1"/>
  <c r="H366" i="2"/>
  <c r="V366" i="2" s="1"/>
  <c r="J366" i="2"/>
  <c r="D367" i="2"/>
  <c r="R367" i="2" s="1"/>
  <c r="F367" i="2"/>
  <c r="T367" i="2" s="1"/>
  <c r="G367" i="2"/>
  <c r="U367" i="2" s="1"/>
  <c r="J367" i="2"/>
  <c r="D368" i="2"/>
  <c r="R368" i="2" s="1"/>
  <c r="G368" i="2"/>
  <c r="U368" i="2" s="1"/>
  <c r="H368" i="2"/>
  <c r="V368" i="2" s="1"/>
  <c r="J368" i="2"/>
  <c r="D369" i="2"/>
  <c r="R369" i="2" s="1"/>
  <c r="F369" i="2"/>
  <c r="T369" i="2" s="1"/>
  <c r="G369" i="2"/>
  <c r="U369" i="2" s="1"/>
  <c r="J369" i="2"/>
  <c r="D370" i="2"/>
  <c r="R370" i="2" s="1"/>
  <c r="G370" i="2"/>
  <c r="U370" i="2" s="1"/>
  <c r="H370" i="2"/>
  <c r="V370" i="2" s="1"/>
  <c r="J370" i="2"/>
  <c r="D371" i="2"/>
  <c r="R371" i="2" s="1"/>
  <c r="G371" i="2"/>
  <c r="U371" i="2" s="1"/>
  <c r="H371" i="2"/>
  <c r="V371" i="2" s="1"/>
  <c r="J371" i="2"/>
  <c r="C366" i="2"/>
  <c r="Q366" i="2" s="1"/>
  <c r="C367" i="2"/>
  <c r="Q367" i="2" s="1"/>
  <c r="C368" i="2"/>
  <c r="Q368" i="2" s="1"/>
  <c r="C369" i="2"/>
  <c r="Q369" i="2" s="1"/>
  <c r="C370" i="2"/>
  <c r="Q370" i="2" s="1"/>
  <c r="C371" i="2"/>
  <c r="Q371" i="2" s="1"/>
  <c r="C356" i="2"/>
  <c r="Q356" i="2" s="1"/>
  <c r="C357" i="2"/>
  <c r="Q357" i="2" s="1"/>
  <c r="C358" i="2"/>
  <c r="Q358" i="2" s="1"/>
  <c r="C359" i="2"/>
  <c r="Q359" i="2" s="1"/>
  <c r="C360" i="2"/>
  <c r="Q360" i="2" s="1"/>
  <c r="C361" i="2"/>
  <c r="Q361" i="2" s="1"/>
  <c r="C362" i="2"/>
  <c r="Q362" i="2" s="1"/>
  <c r="C363" i="2"/>
  <c r="Q363" i="2" s="1"/>
  <c r="C364" i="2"/>
  <c r="Q364" i="2" s="1"/>
  <c r="C365" i="2"/>
  <c r="Q365" i="2" s="1"/>
  <c r="C351" i="2"/>
  <c r="C352" i="2"/>
  <c r="Q352" i="2" s="1"/>
  <c r="C353" i="2"/>
  <c r="Q353" i="2" s="1"/>
  <c r="C354" i="2"/>
  <c r="N355" i="2" s="1"/>
  <c r="C355" i="2"/>
  <c r="C350" i="2"/>
  <c r="N351" i="2" s="1"/>
  <c r="E293" i="2"/>
  <c r="S293" i="2" s="1"/>
  <c r="G293" i="2"/>
  <c r="H293" i="2"/>
  <c r="I293" i="2"/>
  <c r="J293" i="2"/>
  <c r="D294" i="2"/>
  <c r="R294" i="2" s="1"/>
  <c r="G294" i="2"/>
  <c r="U294" i="2" s="1"/>
  <c r="J294" i="2"/>
  <c r="D295" i="2"/>
  <c r="R295" i="2" s="1"/>
  <c r="G295" i="2"/>
  <c r="U295" i="2" s="1"/>
  <c r="J295" i="2"/>
  <c r="C293" i="2"/>
  <c r="C294" i="2"/>
  <c r="Q294" i="2" s="1"/>
  <c r="C295" i="2"/>
  <c r="Q295" i="2" s="1"/>
  <c r="C292" i="2"/>
  <c r="N293" i="2" s="1"/>
  <c r="AA491" i="2" l="1"/>
  <c r="AA489" i="2"/>
  <c r="AA481" i="2"/>
  <c r="N373" i="2"/>
  <c r="AA493" i="2"/>
  <c r="AA482" i="2"/>
  <c r="AA467" i="2"/>
  <c r="U481" i="2"/>
  <c r="AA483" i="2"/>
  <c r="U497" i="2"/>
  <c r="U480" i="2"/>
  <c r="V503" i="2"/>
  <c r="R497" i="2"/>
  <c r="AA497" i="2" s="1"/>
  <c r="R474" i="2"/>
  <c r="Q503" i="2"/>
  <c r="AA503" i="2" s="1"/>
  <c r="T496" i="2"/>
  <c r="AA492" i="2"/>
  <c r="N469" i="2"/>
  <c r="Q479" i="2"/>
  <c r="Q502" i="2"/>
  <c r="AA502" i="2" s="1"/>
  <c r="R496" i="2"/>
  <c r="AA496" i="2" s="1"/>
  <c r="R470" i="2"/>
  <c r="Q478" i="2"/>
  <c r="AA478" i="2" s="1"/>
  <c r="Q500" i="2"/>
  <c r="R495" i="2"/>
  <c r="T441" i="2"/>
  <c r="U484" i="2"/>
  <c r="Q477" i="2"/>
  <c r="AA477" i="2" s="1"/>
  <c r="U494" i="2"/>
  <c r="U434" i="2"/>
  <c r="U483" i="2"/>
  <c r="R476" i="2"/>
  <c r="R499" i="2"/>
  <c r="U492" i="2"/>
  <c r="AA479" i="2"/>
  <c r="T459" i="2"/>
  <c r="U482" i="2"/>
  <c r="R475" i="2"/>
  <c r="R498" i="2"/>
  <c r="V489" i="2"/>
  <c r="AA494" i="2"/>
  <c r="AA480" i="2"/>
  <c r="AA490" i="2"/>
  <c r="U433" i="2"/>
  <c r="R473" i="2"/>
  <c r="R472" i="2"/>
  <c r="R501" i="2"/>
  <c r="T499" i="2"/>
  <c r="T497" i="2"/>
  <c r="T495" i="2"/>
  <c r="Y489" i="2"/>
  <c r="T443" i="2"/>
  <c r="V431" i="2"/>
  <c r="Q470" i="2"/>
  <c r="V484" i="2"/>
  <c r="V482" i="2"/>
  <c r="V480" i="2"/>
  <c r="Q476" i="2"/>
  <c r="AA476" i="2" s="1"/>
  <c r="Q475" i="2"/>
  <c r="AA475" i="2" s="1"/>
  <c r="Q474" i="2"/>
  <c r="Q473" i="2"/>
  <c r="Q472" i="2"/>
  <c r="R471" i="2"/>
  <c r="Q501" i="2"/>
  <c r="R500" i="2"/>
  <c r="AA500" i="2" s="1"/>
  <c r="U493" i="2"/>
  <c r="S487" i="2"/>
  <c r="T439" i="2"/>
  <c r="U458" i="2"/>
  <c r="U470" i="2"/>
  <c r="Y470" i="2"/>
  <c r="T483" i="2"/>
  <c r="U503" i="2"/>
  <c r="Q499" i="2"/>
  <c r="Q498" i="2"/>
  <c r="AA498" i="2" s="1"/>
  <c r="U491" i="2"/>
  <c r="U490" i="2"/>
  <c r="U489" i="2"/>
  <c r="Q471" i="2"/>
  <c r="AA471" i="2" s="1"/>
  <c r="AA495" i="2"/>
  <c r="T438" i="2"/>
  <c r="U478" i="2"/>
  <c r="U477" i="2"/>
  <c r="T437" i="2"/>
  <c r="R485" i="2"/>
  <c r="AA485" i="2" s="1"/>
  <c r="R484" i="2"/>
  <c r="AA484" i="2" s="1"/>
  <c r="U435" i="2"/>
  <c r="U457" i="2"/>
  <c r="U430" i="2"/>
  <c r="U431" i="2"/>
  <c r="U448" i="2"/>
  <c r="R463" i="2"/>
  <c r="R462" i="2"/>
  <c r="R461" i="2"/>
  <c r="R460" i="2"/>
  <c r="T457" i="2"/>
  <c r="U456" i="2"/>
  <c r="U455" i="2"/>
  <c r="U454" i="2"/>
  <c r="U453" i="2"/>
  <c r="U452" i="2"/>
  <c r="U432" i="2"/>
  <c r="R445" i="2"/>
  <c r="R444" i="2"/>
  <c r="R443" i="2"/>
  <c r="R442" i="2"/>
  <c r="R441" i="2"/>
  <c r="R440" i="2"/>
  <c r="R439" i="2"/>
  <c r="R438" i="2"/>
  <c r="R437" i="2"/>
  <c r="R436" i="2"/>
  <c r="Q463" i="2"/>
  <c r="Q462" i="2"/>
  <c r="Q461" i="2"/>
  <c r="Q460" i="2"/>
  <c r="R459" i="2"/>
  <c r="T456" i="2"/>
  <c r="T455" i="2"/>
  <c r="U451" i="2"/>
  <c r="V449" i="2"/>
  <c r="Q445" i="2"/>
  <c r="Q444" i="2"/>
  <c r="Q443" i="2"/>
  <c r="Q442" i="2"/>
  <c r="Q441" i="2"/>
  <c r="Q440" i="2"/>
  <c r="Q439" i="2"/>
  <c r="Q438" i="2"/>
  <c r="Q437" i="2"/>
  <c r="Q436" i="2"/>
  <c r="R435" i="2"/>
  <c r="R434" i="2"/>
  <c r="R433" i="2"/>
  <c r="R432" i="2"/>
  <c r="Q459" i="2"/>
  <c r="R458" i="2"/>
  <c r="R457" i="2"/>
  <c r="U450" i="2"/>
  <c r="U449" i="2"/>
  <c r="R430" i="2"/>
  <c r="R448" i="2"/>
  <c r="Q435" i="2"/>
  <c r="Q434" i="2"/>
  <c r="Q433" i="2"/>
  <c r="Q432" i="2"/>
  <c r="R431" i="2"/>
  <c r="Q458" i="2"/>
  <c r="Q457" i="2"/>
  <c r="R456" i="2"/>
  <c r="R455" i="2"/>
  <c r="R454" i="2"/>
  <c r="R453" i="2"/>
  <c r="R452" i="2"/>
  <c r="N429" i="2"/>
  <c r="Q431" i="2"/>
  <c r="S447" i="2"/>
  <c r="V463" i="2"/>
  <c r="V462" i="2"/>
  <c r="V460" i="2"/>
  <c r="Q456" i="2"/>
  <c r="Q455" i="2"/>
  <c r="Q454" i="2"/>
  <c r="Q453" i="2"/>
  <c r="Q452" i="2"/>
  <c r="R451" i="2"/>
  <c r="S429" i="2"/>
  <c r="V445" i="2"/>
  <c r="V444" i="2"/>
  <c r="V442" i="2"/>
  <c r="V440" i="2"/>
  <c r="N447" i="2"/>
  <c r="U463" i="2"/>
  <c r="U462" i="2"/>
  <c r="U461" i="2"/>
  <c r="U460" i="2"/>
  <c r="Q451" i="2"/>
  <c r="R450" i="2"/>
  <c r="R449" i="2"/>
  <c r="Q430" i="2"/>
  <c r="U445" i="2"/>
  <c r="U444" i="2"/>
  <c r="U443" i="2"/>
  <c r="U442" i="2"/>
  <c r="U441" i="2"/>
  <c r="U440" i="2"/>
  <c r="U439" i="2"/>
  <c r="U438" i="2"/>
  <c r="U437" i="2"/>
  <c r="U436" i="2"/>
  <c r="Q448" i="2"/>
  <c r="T461" i="2"/>
  <c r="U459" i="2"/>
  <c r="V458" i="2"/>
  <c r="Q450" i="2"/>
  <c r="Q449" i="2"/>
  <c r="AA426" i="2"/>
  <c r="AA392" i="2"/>
  <c r="AA415" i="2"/>
  <c r="AA421" i="2"/>
  <c r="AA427" i="2"/>
  <c r="AA401" i="2"/>
  <c r="AA419" i="2"/>
  <c r="AA420" i="2"/>
  <c r="AA395" i="2"/>
  <c r="AA393" i="2"/>
  <c r="AA394" i="2"/>
  <c r="AA396" i="2"/>
  <c r="AA422" i="2"/>
  <c r="AA400" i="2"/>
  <c r="AA416" i="2"/>
  <c r="AA408" i="2"/>
  <c r="AA405" i="2"/>
  <c r="AA403" i="2"/>
  <c r="AA398" i="2"/>
  <c r="AA413" i="2"/>
  <c r="AA418" i="2"/>
  <c r="AA414" i="2"/>
  <c r="AA424" i="2"/>
  <c r="AA412" i="2"/>
  <c r="AA425" i="2"/>
  <c r="R381" i="2"/>
  <c r="R387" i="2"/>
  <c r="U379" i="2"/>
  <c r="AA404" i="2"/>
  <c r="Q387" i="2"/>
  <c r="U378" i="2"/>
  <c r="AA402" i="2"/>
  <c r="R386" i="2"/>
  <c r="U376" i="2"/>
  <c r="Q386" i="2"/>
  <c r="V375" i="2"/>
  <c r="AA399" i="2"/>
  <c r="AA397" i="2"/>
  <c r="R385" i="2"/>
  <c r="Q388" i="2"/>
  <c r="R384" i="2"/>
  <c r="S373" i="2"/>
  <c r="R383" i="2"/>
  <c r="Q383" i="2"/>
  <c r="Q382" i="2"/>
  <c r="Q381" i="2"/>
  <c r="R380" i="2"/>
  <c r="U375" i="2"/>
  <c r="V389" i="2"/>
  <c r="Q385" i="2"/>
  <c r="V388" i="2"/>
  <c r="Q380" i="2"/>
  <c r="R379" i="2"/>
  <c r="U389" i="2"/>
  <c r="U377" i="2"/>
  <c r="Q374" i="2"/>
  <c r="U388" i="2"/>
  <c r="V386" i="2"/>
  <c r="V384" i="2"/>
  <c r="Q379" i="2"/>
  <c r="R378" i="2"/>
  <c r="R377" i="2"/>
  <c r="R376" i="2"/>
  <c r="Q384" i="2"/>
  <c r="R374" i="2"/>
  <c r="U387" i="2"/>
  <c r="U386" i="2"/>
  <c r="U385" i="2"/>
  <c r="U384" i="2"/>
  <c r="Q378" i="2"/>
  <c r="Q377" i="2"/>
  <c r="Q376" i="2"/>
  <c r="R375" i="2"/>
  <c r="U374" i="2"/>
  <c r="Y374" i="2"/>
  <c r="T387" i="2"/>
  <c r="T385" i="2"/>
  <c r="U383" i="2"/>
  <c r="U382" i="2"/>
  <c r="U381" i="2"/>
  <c r="Q375" i="2"/>
  <c r="R389" i="2"/>
  <c r="R382" i="2"/>
  <c r="R388" i="2"/>
  <c r="T383" i="2"/>
  <c r="T382" i="2"/>
  <c r="T381" i="2"/>
  <c r="U380" i="2"/>
  <c r="Y375" i="2"/>
  <c r="Q389" i="2"/>
  <c r="AA362" i="2"/>
  <c r="AA364" i="2"/>
  <c r="AA357" i="2"/>
  <c r="AA359" i="2"/>
  <c r="AA361" i="2"/>
  <c r="AA353" i="2"/>
  <c r="AA368" i="2"/>
  <c r="AA363" i="2"/>
  <c r="AA360" i="2"/>
  <c r="AA370" i="2"/>
  <c r="AA371" i="2"/>
  <c r="U346" i="2"/>
  <c r="AA369" i="2"/>
  <c r="AA367" i="2"/>
  <c r="AA366" i="2"/>
  <c r="AA365" i="2"/>
  <c r="AA356" i="2"/>
  <c r="AA358" i="2"/>
  <c r="AA352" i="2"/>
  <c r="Q346" i="2"/>
  <c r="T345" i="2"/>
  <c r="R344" i="2"/>
  <c r="N333" i="2"/>
  <c r="T343" i="2"/>
  <c r="R334" i="2"/>
  <c r="U341" i="2"/>
  <c r="R348" i="2"/>
  <c r="V335" i="2"/>
  <c r="T347" i="2"/>
  <c r="R349" i="2"/>
  <c r="R347" i="2"/>
  <c r="U342" i="2"/>
  <c r="U334" i="2"/>
  <c r="Q349" i="2"/>
  <c r="Q348" i="2"/>
  <c r="AA348" i="2" s="1"/>
  <c r="Q347" i="2"/>
  <c r="R346" i="2"/>
  <c r="T342" i="2"/>
  <c r="T341" i="2"/>
  <c r="U340" i="2"/>
  <c r="U339" i="2"/>
  <c r="Q345" i="2"/>
  <c r="Q344" i="2"/>
  <c r="Q343" i="2"/>
  <c r="R342" i="2"/>
  <c r="R341" i="2"/>
  <c r="U337" i="2"/>
  <c r="U336" i="2"/>
  <c r="U335" i="2"/>
  <c r="S333" i="2"/>
  <c r="V349" i="2"/>
  <c r="V348" i="2"/>
  <c r="Q342" i="2"/>
  <c r="AA342" i="2" s="1"/>
  <c r="Q341" i="2"/>
  <c r="R340" i="2"/>
  <c r="R339" i="2"/>
  <c r="R345" i="2"/>
  <c r="R343" i="2"/>
  <c r="U338" i="2"/>
  <c r="U349" i="2"/>
  <c r="U348" i="2"/>
  <c r="U347" i="2"/>
  <c r="V346" i="2"/>
  <c r="Q340" i="2"/>
  <c r="Q339" i="2"/>
  <c r="R338" i="2"/>
  <c r="V344" i="2"/>
  <c r="Q338" i="2"/>
  <c r="R337" i="2"/>
  <c r="R336" i="2"/>
  <c r="R335" i="2"/>
  <c r="Q334" i="2"/>
  <c r="U345" i="2"/>
  <c r="U344" i="2"/>
  <c r="U343" i="2"/>
  <c r="Q337" i="2"/>
  <c r="Q336" i="2"/>
  <c r="Q335" i="2"/>
  <c r="R326" i="2"/>
  <c r="Q330" i="2"/>
  <c r="T329" i="2"/>
  <c r="U325" i="2"/>
  <c r="R329" i="2"/>
  <c r="U324" i="2"/>
  <c r="V328" i="2"/>
  <c r="U323" i="2"/>
  <c r="R328" i="2"/>
  <c r="U321" i="2"/>
  <c r="R316" i="2"/>
  <c r="T327" i="2"/>
  <c r="Q321" i="2"/>
  <c r="U316" i="2"/>
  <c r="R327" i="2"/>
  <c r="U320" i="2"/>
  <c r="R331" i="2"/>
  <c r="V326" i="2"/>
  <c r="U318" i="2"/>
  <c r="Q331" i="2"/>
  <c r="R330" i="2"/>
  <c r="T325" i="2"/>
  <c r="T324" i="2"/>
  <c r="T323" i="2"/>
  <c r="U322" i="2"/>
  <c r="U319" i="2"/>
  <c r="V317" i="2"/>
  <c r="Q329" i="2"/>
  <c r="Q328" i="2"/>
  <c r="Q327" i="2"/>
  <c r="Q326" i="2"/>
  <c r="R325" i="2"/>
  <c r="R324" i="2"/>
  <c r="R323" i="2"/>
  <c r="U317" i="2"/>
  <c r="S315" i="2"/>
  <c r="V331" i="2"/>
  <c r="Q325" i="2"/>
  <c r="Q324" i="2"/>
  <c r="Q323" i="2"/>
  <c r="R322" i="2"/>
  <c r="N315" i="2"/>
  <c r="U331" i="2"/>
  <c r="V330" i="2"/>
  <c r="Q322" i="2"/>
  <c r="R321" i="2"/>
  <c r="R320" i="2"/>
  <c r="R319" i="2"/>
  <c r="R318" i="2"/>
  <c r="Q316" i="2"/>
  <c r="U330" i="2"/>
  <c r="Q320" i="2"/>
  <c r="Q319" i="2"/>
  <c r="Q318" i="2"/>
  <c r="R317" i="2"/>
  <c r="U329" i="2"/>
  <c r="U328" i="2"/>
  <c r="U327" i="2"/>
  <c r="U326" i="2"/>
  <c r="Q317" i="2"/>
  <c r="AA300" i="2"/>
  <c r="AA283" i="2"/>
  <c r="AA284" i="2"/>
  <c r="AA289" i="2"/>
  <c r="AA287" i="2"/>
  <c r="AA280" i="2"/>
  <c r="AA302" i="2"/>
  <c r="AA290" i="2"/>
  <c r="AA288" i="2"/>
  <c r="AA295" i="2"/>
  <c r="AA279" i="2"/>
  <c r="AA278" i="2"/>
  <c r="AA291" i="2"/>
  <c r="AA294" i="2"/>
  <c r="AA310" i="2"/>
  <c r="AA311" i="2"/>
  <c r="AA305" i="2"/>
  <c r="AA281" i="2"/>
  <c r="AA308" i="2"/>
  <c r="AA306" i="2"/>
  <c r="AA298" i="2"/>
  <c r="AA299" i="2"/>
  <c r="AA313" i="2"/>
  <c r="AA304" i="2"/>
  <c r="AA303" i="2"/>
  <c r="AA312" i="2"/>
  <c r="AA307" i="2"/>
  <c r="AA301" i="2"/>
  <c r="AA286" i="2"/>
  <c r="AA285" i="2"/>
  <c r="AA282" i="2"/>
  <c r="M3" i="25"/>
  <c r="M4" i="25"/>
  <c r="H2" i="25"/>
  <c r="I2" i="25"/>
  <c r="J2" i="25"/>
  <c r="K2" i="25"/>
  <c r="H3" i="25"/>
  <c r="I3" i="25"/>
  <c r="J3" i="25"/>
  <c r="K3" i="25"/>
  <c r="H4" i="25"/>
  <c r="I4" i="25"/>
  <c r="J4" i="25"/>
  <c r="K4" i="25"/>
  <c r="H5" i="25"/>
  <c r="G3" i="25"/>
  <c r="G4" i="25"/>
  <c r="G5" i="25"/>
  <c r="B2" i="25"/>
  <c r="C2" i="25"/>
  <c r="D2" i="25"/>
  <c r="E2" i="25"/>
  <c r="B3" i="25"/>
  <c r="C3" i="25"/>
  <c r="D3" i="25"/>
  <c r="E3" i="25"/>
  <c r="B4" i="25"/>
  <c r="C4" i="25"/>
  <c r="D4" i="25"/>
  <c r="E4" i="25"/>
  <c r="A3" i="25"/>
  <c r="A4" i="25"/>
  <c r="A5" i="25"/>
  <c r="B39" i="25" s="1"/>
  <c r="M2" i="25"/>
  <c r="M1" i="25"/>
  <c r="G2" i="25"/>
  <c r="G1" i="25"/>
  <c r="A2" i="25"/>
  <c r="A1" i="25"/>
  <c r="B2" i="24" a="1"/>
  <c r="U30" i="24" s="1"/>
  <c r="AA501" i="2" l="1"/>
  <c r="AA448" i="2"/>
  <c r="Q39" i="25"/>
  <c r="AA499" i="2"/>
  <c r="AA435" i="2"/>
  <c r="AA440" i="2"/>
  <c r="AA460" i="2"/>
  <c r="AA474" i="2"/>
  <c r="AA455" i="2"/>
  <c r="AA437" i="2"/>
  <c r="AA445" i="2"/>
  <c r="AA470" i="2"/>
  <c r="AA450" i="2"/>
  <c r="AA436" i="2"/>
  <c r="AA433" i="2"/>
  <c r="AA438" i="2"/>
  <c r="AA461" i="2"/>
  <c r="AA434" i="2"/>
  <c r="AA472" i="2"/>
  <c r="AA431" i="2"/>
  <c r="AA458" i="2"/>
  <c r="AA443" i="2"/>
  <c r="AA463" i="2"/>
  <c r="AA473" i="2"/>
  <c r="AA430" i="2"/>
  <c r="AA449" i="2"/>
  <c r="AA454" i="2"/>
  <c r="AA444" i="2"/>
  <c r="AA441" i="2"/>
  <c r="AA452" i="2"/>
  <c r="AA432" i="2"/>
  <c r="AA457" i="2"/>
  <c r="AA462" i="2"/>
  <c r="AA442" i="2"/>
  <c r="AA451" i="2"/>
  <c r="AA456" i="2"/>
  <c r="AA453" i="2"/>
  <c r="AA459" i="2"/>
  <c r="AA439" i="2"/>
  <c r="AA385" i="2"/>
  <c r="AA375" i="2"/>
  <c r="AA381" i="2"/>
  <c r="AA384" i="2"/>
  <c r="AA380" i="2"/>
  <c r="AA386" i="2"/>
  <c r="AA387" i="2"/>
  <c r="AA389" i="2"/>
  <c r="AA379" i="2"/>
  <c r="AA383" i="2"/>
  <c r="AA388" i="2"/>
  <c r="AA378" i="2"/>
  <c r="AA374" i="2"/>
  <c r="AA376" i="2"/>
  <c r="AA377" i="2"/>
  <c r="AA382" i="2"/>
  <c r="AA341" i="2"/>
  <c r="AA345" i="2"/>
  <c r="AA344" i="2"/>
  <c r="AA349" i="2"/>
  <c r="AA316" i="2"/>
  <c r="AA334" i="2"/>
  <c r="AA340" i="2"/>
  <c r="AA335" i="2"/>
  <c r="AA327" i="2"/>
  <c r="AA337" i="2"/>
  <c r="AA338" i="2"/>
  <c r="AA343" i="2"/>
  <c r="AA347" i="2"/>
  <c r="AA346" i="2"/>
  <c r="AA339" i="2"/>
  <c r="AA336" i="2"/>
  <c r="AA329" i="2"/>
  <c r="AA318" i="2"/>
  <c r="AA319" i="2"/>
  <c r="AA326" i="2"/>
  <c r="AA321" i="2"/>
  <c r="AA317" i="2"/>
  <c r="AA320" i="2"/>
  <c r="AA330" i="2"/>
  <c r="AA325" i="2"/>
  <c r="AA328" i="2"/>
  <c r="AA331" i="2"/>
  <c r="AA324" i="2"/>
  <c r="AA322" i="2"/>
  <c r="AA323" i="2"/>
  <c r="N2" i="24"/>
  <c r="F6" i="24"/>
  <c r="J3" i="24"/>
  <c r="R3" i="24"/>
  <c r="F4" i="24"/>
  <c r="B5" i="24"/>
  <c r="R5" i="24"/>
  <c r="B3" i="24"/>
  <c r="F10" i="24"/>
  <c r="N4" i="24"/>
  <c r="F2" i="24"/>
  <c r="J5" i="24"/>
  <c r="R7" i="24"/>
  <c r="J9" i="24"/>
  <c r="N12" i="24"/>
  <c r="R15" i="24"/>
  <c r="N18" i="24"/>
  <c r="J21" i="24"/>
  <c r="F24" i="24"/>
  <c r="F26" i="24"/>
  <c r="N28" i="24"/>
  <c r="G2" i="24"/>
  <c r="C5" i="24"/>
  <c r="S5" i="24"/>
  <c r="G6" i="24"/>
  <c r="O6" i="24"/>
  <c r="K7" i="24"/>
  <c r="S7" i="24"/>
  <c r="G8" i="24"/>
  <c r="O8" i="24"/>
  <c r="C9" i="24"/>
  <c r="K9" i="24"/>
  <c r="S9" i="24"/>
  <c r="G10" i="24"/>
  <c r="O10" i="24"/>
  <c r="C11" i="24"/>
  <c r="K11" i="24"/>
  <c r="S11" i="24"/>
  <c r="G12" i="24"/>
  <c r="O12" i="24"/>
  <c r="C13" i="24"/>
  <c r="K13" i="24"/>
  <c r="S13" i="24"/>
  <c r="G14" i="24"/>
  <c r="O14" i="24"/>
  <c r="C15" i="24"/>
  <c r="K15" i="24"/>
  <c r="S15" i="24"/>
  <c r="G16" i="24"/>
  <c r="O16" i="24"/>
  <c r="C17" i="24"/>
  <c r="K17" i="24"/>
  <c r="S17" i="24"/>
  <c r="G18" i="24"/>
  <c r="O18" i="24"/>
  <c r="C19" i="24"/>
  <c r="K19" i="24"/>
  <c r="S19" i="24"/>
  <c r="G20" i="24"/>
  <c r="O20" i="24"/>
  <c r="C21" i="24"/>
  <c r="K21" i="24"/>
  <c r="S21" i="24"/>
  <c r="G22" i="24"/>
  <c r="O22" i="24"/>
  <c r="C23" i="24"/>
  <c r="K23" i="24"/>
  <c r="S23" i="24"/>
  <c r="G24" i="24"/>
  <c r="O24" i="24"/>
  <c r="C25" i="24"/>
  <c r="K25" i="24"/>
  <c r="S25" i="24"/>
  <c r="G26" i="24"/>
  <c r="O26" i="24"/>
  <c r="C27" i="24"/>
  <c r="K27" i="24"/>
  <c r="S27" i="24"/>
  <c r="G28" i="24"/>
  <c r="O28" i="24"/>
  <c r="C29" i="24"/>
  <c r="K29" i="24"/>
  <c r="S29" i="24"/>
  <c r="G30" i="24"/>
  <c r="O30" i="24"/>
  <c r="N8" i="24"/>
  <c r="B11" i="24"/>
  <c r="R13" i="24"/>
  <c r="F16" i="24"/>
  <c r="F18" i="24"/>
  <c r="N20" i="24"/>
  <c r="J23" i="24"/>
  <c r="R25" i="24"/>
  <c r="F28" i="24"/>
  <c r="F30" i="24"/>
  <c r="S3" i="24"/>
  <c r="K5" i="24"/>
  <c r="C7" i="24"/>
  <c r="H2" i="24"/>
  <c r="P2" i="24"/>
  <c r="D3" i="24"/>
  <c r="L3" i="24"/>
  <c r="T3" i="24"/>
  <c r="H4" i="24"/>
  <c r="P4" i="24"/>
  <c r="D5" i="24"/>
  <c r="L5" i="24"/>
  <c r="T5" i="24"/>
  <c r="H6" i="24"/>
  <c r="P6" i="24"/>
  <c r="D7" i="24"/>
  <c r="L7" i="24"/>
  <c r="T7" i="24"/>
  <c r="H8" i="24"/>
  <c r="P8" i="24"/>
  <c r="D9" i="24"/>
  <c r="L9" i="24"/>
  <c r="T9" i="24"/>
  <c r="H10" i="24"/>
  <c r="P10" i="24"/>
  <c r="D11" i="24"/>
  <c r="L11" i="24"/>
  <c r="T11" i="24"/>
  <c r="H12" i="24"/>
  <c r="P12" i="24"/>
  <c r="D13" i="24"/>
  <c r="L13" i="24"/>
  <c r="T13" i="24"/>
  <c r="H14" i="24"/>
  <c r="P14" i="24"/>
  <c r="D15" i="24"/>
  <c r="L15" i="24"/>
  <c r="T15" i="24"/>
  <c r="H16" i="24"/>
  <c r="P16" i="24"/>
  <c r="D17" i="24"/>
  <c r="L17" i="24"/>
  <c r="T17" i="24"/>
  <c r="H18" i="24"/>
  <c r="P18" i="24"/>
  <c r="D19" i="24"/>
  <c r="L19" i="24"/>
  <c r="T19" i="24"/>
  <c r="H20" i="24"/>
  <c r="P20" i="24"/>
  <c r="D21" i="24"/>
  <c r="L21" i="24"/>
  <c r="T21" i="24"/>
  <c r="H22" i="24"/>
  <c r="P22" i="24"/>
  <c r="D23" i="24"/>
  <c r="L23" i="24"/>
  <c r="T23" i="24"/>
  <c r="H24" i="24"/>
  <c r="P24" i="24"/>
  <c r="D25" i="24"/>
  <c r="L25" i="24"/>
  <c r="T25" i="24"/>
  <c r="H26" i="24"/>
  <c r="P26" i="24"/>
  <c r="D27" i="24"/>
  <c r="L27" i="24"/>
  <c r="T27" i="24"/>
  <c r="H28" i="24"/>
  <c r="P28" i="24"/>
  <c r="D29" i="24"/>
  <c r="L29" i="24"/>
  <c r="T29" i="24"/>
  <c r="H30" i="24"/>
  <c r="P30" i="24"/>
  <c r="R9" i="24"/>
  <c r="F12" i="24"/>
  <c r="N14" i="24"/>
  <c r="J17" i="24"/>
  <c r="R19" i="24"/>
  <c r="R21" i="24"/>
  <c r="R23" i="24"/>
  <c r="N26" i="24"/>
  <c r="B29" i="24"/>
  <c r="O2" i="24"/>
  <c r="Q2" i="24"/>
  <c r="E3" i="24"/>
  <c r="M3" i="24"/>
  <c r="U3" i="24"/>
  <c r="I4" i="24"/>
  <c r="Q4" i="24"/>
  <c r="E5" i="24"/>
  <c r="M5" i="24"/>
  <c r="U5" i="24"/>
  <c r="I6" i="24"/>
  <c r="Q6" i="24"/>
  <c r="E7" i="24"/>
  <c r="M7" i="24"/>
  <c r="U7" i="24"/>
  <c r="I8" i="24"/>
  <c r="Q8" i="24"/>
  <c r="E9" i="24"/>
  <c r="M9" i="24"/>
  <c r="U9" i="24"/>
  <c r="I10" i="24"/>
  <c r="Q10" i="24"/>
  <c r="E11" i="24"/>
  <c r="M11" i="24"/>
  <c r="U11" i="24"/>
  <c r="I12" i="24"/>
  <c r="Q12" i="24"/>
  <c r="E13" i="24"/>
  <c r="M13" i="24"/>
  <c r="U13" i="24"/>
  <c r="I14" i="24"/>
  <c r="Q14" i="24"/>
  <c r="E15" i="24"/>
  <c r="M15" i="24"/>
  <c r="U15" i="24"/>
  <c r="I16" i="24"/>
  <c r="Q16" i="24"/>
  <c r="E17" i="24"/>
  <c r="M17" i="24"/>
  <c r="U17" i="24"/>
  <c r="I18" i="24"/>
  <c r="Q18" i="24"/>
  <c r="E19" i="24"/>
  <c r="M19" i="24"/>
  <c r="U19" i="24"/>
  <c r="I20" i="24"/>
  <c r="Q20" i="24"/>
  <c r="E21" i="24"/>
  <c r="M21" i="24"/>
  <c r="U21" i="24"/>
  <c r="I22" i="24"/>
  <c r="Q22" i="24"/>
  <c r="E23" i="24"/>
  <c r="M23" i="24"/>
  <c r="U23" i="24"/>
  <c r="I24" i="24"/>
  <c r="Q24" i="24"/>
  <c r="E25" i="24"/>
  <c r="M25" i="24"/>
  <c r="U25" i="24"/>
  <c r="I26" i="24"/>
  <c r="Q26" i="24"/>
  <c r="E27" i="24"/>
  <c r="M27" i="24"/>
  <c r="U27" i="24"/>
  <c r="I28" i="24"/>
  <c r="Q28" i="24"/>
  <c r="E29" i="24"/>
  <c r="M29" i="24"/>
  <c r="U29" i="24"/>
  <c r="I30" i="24"/>
  <c r="Q30" i="24"/>
  <c r="N6" i="24"/>
  <c r="B7" i="24"/>
  <c r="J7" i="24"/>
  <c r="F8" i="24"/>
  <c r="N10" i="24"/>
  <c r="B13" i="24"/>
  <c r="J15" i="24"/>
  <c r="R17" i="24"/>
  <c r="F20" i="24"/>
  <c r="N22" i="24"/>
  <c r="B25" i="24"/>
  <c r="J27" i="24"/>
  <c r="R29" i="24"/>
  <c r="K3" i="24"/>
  <c r="R2" i="24"/>
  <c r="F3" i="24"/>
  <c r="N3" i="24"/>
  <c r="B4" i="24"/>
  <c r="J4" i="24"/>
  <c r="R4" i="24"/>
  <c r="F5" i="24"/>
  <c r="N5" i="24"/>
  <c r="B6" i="24"/>
  <c r="J6" i="24"/>
  <c r="R6" i="24"/>
  <c r="F7" i="24"/>
  <c r="N7" i="24"/>
  <c r="B8" i="24"/>
  <c r="J8" i="24"/>
  <c r="R8" i="24"/>
  <c r="F9" i="24"/>
  <c r="N9" i="24"/>
  <c r="B10" i="24"/>
  <c r="J10" i="24"/>
  <c r="R10" i="24"/>
  <c r="F11" i="24"/>
  <c r="N11" i="24"/>
  <c r="B12" i="24"/>
  <c r="J12" i="24"/>
  <c r="R12" i="24"/>
  <c r="F13" i="24"/>
  <c r="N13" i="24"/>
  <c r="B14" i="24"/>
  <c r="J14" i="24"/>
  <c r="R14" i="24"/>
  <c r="F15" i="24"/>
  <c r="N15" i="24"/>
  <c r="B16" i="24"/>
  <c r="J16" i="24"/>
  <c r="R16" i="24"/>
  <c r="F17" i="24"/>
  <c r="N17" i="24"/>
  <c r="B18" i="24"/>
  <c r="J18" i="24"/>
  <c r="R18" i="24"/>
  <c r="F19" i="24"/>
  <c r="N19" i="24"/>
  <c r="B20" i="24"/>
  <c r="J20" i="24"/>
  <c r="R20" i="24"/>
  <c r="F21" i="24"/>
  <c r="N21" i="24"/>
  <c r="B22" i="24"/>
  <c r="J22" i="24"/>
  <c r="R22" i="24"/>
  <c r="F23" i="24"/>
  <c r="N23" i="24"/>
  <c r="B24" i="24"/>
  <c r="J24" i="24"/>
  <c r="R24" i="24"/>
  <c r="F25" i="24"/>
  <c r="N25" i="24"/>
  <c r="B26" i="24"/>
  <c r="J26" i="24"/>
  <c r="R26" i="24"/>
  <c r="F27" i="24"/>
  <c r="N27" i="24"/>
  <c r="B28" i="24"/>
  <c r="J28" i="24"/>
  <c r="R28" i="24"/>
  <c r="F29" i="24"/>
  <c r="N29" i="24"/>
  <c r="B30" i="24"/>
  <c r="J30" i="24"/>
  <c r="R30" i="24"/>
  <c r="B9" i="24"/>
  <c r="J11" i="24"/>
  <c r="F14" i="24"/>
  <c r="N16" i="24"/>
  <c r="J19" i="24"/>
  <c r="F22" i="24"/>
  <c r="N24" i="24"/>
  <c r="B27" i="24"/>
  <c r="J29" i="24"/>
  <c r="C3" i="24"/>
  <c r="O4" i="24"/>
  <c r="J2" i="24"/>
  <c r="C2" i="24"/>
  <c r="K2" i="24"/>
  <c r="S2" i="24"/>
  <c r="G3" i="24"/>
  <c r="O3" i="24"/>
  <c r="C4" i="24"/>
  <c r="K4" i="24"/>
  <c r="S4" i="24"/>
  <c r="G5" i="24"/>
  <c r="O5" i="24"/>
  <c r="C6" i="24"/>
  <c r="K6" i="24"/>
  <c r="S6" i="24"/>
  <c r="G7" i="24"/>
  <c r="O7" i="24"/>
  <c r="C8" i="24"/>
  <c r="K8" i="24"/>
  <c r="S8" i="24"/>
  <c r="G9" i="24"/>
  <c r="O9" i="24"/>
  <c r="C10" i="24"/>
  <c r="K10" i="24"/>
  <c r="S10" i="24"/>
  <c r="G11" i="24"/>
  <c r="O11" i="24"/>
  <c r="C12" i="24"/>
  <c r="K12" i="24"/>
  <c r="S12" i="24"/>
  <c r="G13" i="24"/>
  <c r="O13" i="24"/>
  <c r="C14" i="24"/>
  <c r="K14" i="24"/>
  <c r="S14" i="24"/>
  <c r="G15" i="24"/>
  <c r="O15" i="24"/>
  <c r="C16" i="24"/>
  <c r="K16" i="24"/>
  <c r="S16" i="24"/>
  <c r="G17" i="24"/>
  <c r="O17" i="24"/>
  <c r="C18" i="24"/>
  <c r="K18" i="24"/>
  <c r="S18" i="24"/>
  <c r="G19" i="24"/>
  <c r="O19" i="24"/>
  <c r="C20" i="24"/>
  <c r="K20" i="24"/>
  <c r="S20" i="24"/>
  <c r="G21" i="24"/>
  <c r="O21" i="24"/>
  <c r="C22" i="24"/>
  <c r="K22" i="24"/>
  <c r="S22" i="24"/>
  <c r="G23" i="24"/>
  <c r="O23" i="24"/>
  <c r="C24" i="24"/>
  <c r="K24" i="24"/>
  <c r="S24" i="24"/>
  <c r="G25" i="24"/>
  <c r="O25" i="24"/>
  <c r="C26" i="24"/>
  <c r="K26" i="24"/>
  <c r="S26" i="24"/>
  <c r="G27" i="24"/>
  <c r="O27" i="24"/>
  <c r="C28" i="24"/>
  <c r="K28" i="24"/>
  <c r="S28" i="24"/>
  <c r="G29" i="24"/>
  <c r="O29" i="24"/>
  <c r="C30" i="24"/>
  <c r="K30" i="24"/>
  <c r="S30" i="24"/>
  <c r="B2" i="24"/>
  <c r="D2" i="24"/>
  <c r="L2" i="24"/>
  <c r="T2" i="24"/>
  <c r="H3" i="24"/>
  <c r="P3" i="24"/>
  <c r="D4" i="24"/>
  <c r="L4" i="24"/>
  <c r="T4" i="24"/>
  <c r="H5" i="24"/>
  <c r="P5" i="24"/>
  <c r="D6" i="24"/>
  <c r="L6" i="24"/>
  <c r="T6" i="24"/>
  <c r="H7" i="24"/>
  <c r="P7" i="24"/>
  <c r="D8" i="24"/>
  <c r="L8" i="24"/>
  <c r="T8" i="24"/>
  <c r="H9" i="24"/>
  <c r="P9" i="24"/>
  <c r="D10" i="24"/>
  <c r="L10" i="24"/>
  <c r="T10" i="24"/>
  <c r="H11" i="24"/>
  <c r="P11" i="24"/>
  <c r="D12" i="24"/>
  <c r="L12" i="24"/>
  <c r="T12" i="24"/>
  <c r="H13" i="24"/>
  <c r="P13" i="24"/>
  <c r="D14" i="24"/>
  <c r="L14" i="24"/>
  <c r="T14" i="24"/>
  <c r="H15" i="24"/>
  <c r="P15" i="24"/>
  <c r="D16" i="24"/>
  <c r="L16" i="24"/>
  <c r="T16" i="24"/>
  <c r="H17" i="24"/>
  <c r="P17" i="24"/>
  <c r="D18" i="24"/>
  <c r="L18" i="24"/>
  <c r="T18" i="24"/>
  <c r="H19" i="24"/>
  <c r="P19" i="24"/>
  <c r="D20" i="24"/>
  <c r="L20" i="24"/>
  <c r="T20" i="24"/>
  <c r="H21" i="24"/>
  <c r="P21" i="24"/>
  <c r="D22" i="24"/>
  <c r="L22" i="24"/>
  <c r="T22" i="24"/>
  <c r="H23" i="24"/>
  <c r="P23" i="24"/>
  <c r="D24" i="24"/>
  <c r="L24" i="24"/>
  <c r="T24" i="24"/>
  <c r="H25" i="24"/>
  <c r="P25" i="24"/>
  <c r="D26" i="24"/>
  <c r="L26" i="24"/>
  <c r="T26" i="24"/>
  <c r="H27" i="24"/>
  <c r="P27" i="24"/>
  <c r="D28" i="24"/>
  <c r="L28" i="24"/>
  <c r="T28" i="24"/>
  <c r="H29" i="24"/>
  <c r="P29" i="24"/>
  <c r="D30" i="24"/>
  <c r="L30" i="24"/>
  <c r="T30" i="24"/>
  <c r="R11" i="24"/>
  <c r="J13" i="24"/>
  <c r="B15" i="24"/>
  <c r="B17" i="24"/>
  <c r="B19" i="24"/>
  <c r="B21" i="24"/>
  <c r="B23" i="24"/>
  <c r="J25" i="24"/>
  <c r="R27" i="24"/>
  <c r="N30" i="24"/>
  <c r="G4" i="24"/>
  <c r="I2" i="24"/>
  <c r="E2" i="24"/>
  <c r="M2" i="24"/>
  <c r="U2" i="24"/>
  <c r="I3" i="24"/>
  <c r="Q3" i="24"/>
  <c r="E4" i="24"/>
  <c r="M4" i="24"/>
  <c r="U4" i="24"/>
  <c r="I5" i="24"/>
  <c r="Q5" i="24"/>
  <c r="E6" i="24"/>
  <c r="M6" i="24"/>
  <c r="U6" i="24"/>
  <c r="I7" i="24"/>
  <c r="Q7" i="24"/>
  <c r="E8" i="24"/>
  <c r="M8" i="24"/>
  <c r="U8" i="24"/>
  <c r="I9" i="24"/>
  <c r="Q9" i="24"/>
  <c r="E10" i="24"/>
  <c r="M10" i="24"/>
  <c r="U10" i="24"/>
  <c r="I11" i="24"/>
  <c r="Q11" i="24"/>
  <c r="E12" i="24"/>
  <c r="M12" i="24"/>
  <c r="U12" i="24"/>
  <c r="I13" i="24"/>
  <c r="Q13" i="24"/>
  <c r="E14" i="24"/>
  <c r="M14" i="24"/>
  <c r="U14" i="24"/>
  <c r="I15" i="24"/>
  <c r="Q15" i="24"/>
  <c r="E16" i="24"/>
  <c r="M16" i="24"/>
  <c r="U16" i="24"/>
  <c r="I17" i="24"/>
  <c r="Q17" i="24"/>
  <c r="E18" i="24"/>
  <c r="M18" i="24"/>
  <c r="U18" i="24"/>
  <c r="I19" i="24"/>
  <c r="Q19" i="24"/>
  <c r="E20" i="24"/>
  <c r="M20" i="24"/>
  <c r="U20" i="24"/>
  <c r="I21" i="24"/>
  <c r="Q21" i="24"/>
  <c r="E22" i="24"/>
  <c r="M22" i="24"/>
  <c r="U22" i="24"/>
  <c r="I23" i="24"/>
  <c r="Q23" i="24"/>
  <c r="E24" i="24"/>
  <c r="M24" i="24"/>
  <c r="U24" i="24"/>
  <c r="I25" i="24"/>
  <c r="Q25" i="24"/>
  <c r="E26" i="24"/>
  <c r="M26" i="24"/>
  <c r="U26" i="24"/>
  <c r="I27" i="24"/>
  <c r="Q27" i="24"/>
  <c r="E28" i="24"/>
  <c r="M28" i="24"/>
  <c r="U28" i="24"/>
  <c r="I29" i="24"/>
  <c r="Q29" i="24"/>
  <c r="E30" i="24"/>
  <c r="M30" i="24"/>
  <c r="H188" i="24" l="1"/>
  <c r="N27" i="25" s="1"/>
  <c r="F61" i="25" s="1"/>
  <c r="H181" i="24"/>
  <c r="H185" i="24"/>
  <c r="H179" i="24"/>
  <c r="N18" i="25" s="1"/>
  <c r="F52" i="25" s="1"/>
  <c r="T49" i="25" s="1"/>
  <c r="H183" i="24"/>
  <c r="H187" i="24"/>
  <c r="H190" i="24"/>
  <c r="H186" i="24"/>
  <c r="N25" i="25" s="1"/>
  <c r="F59" i="25" s="1"/>
  <c r="T55" i="25" s="1"/>
  <c r="H182" i="24"/>
  <c r="H180" i="24"/>
  <c r="H184" i="24"/>
  <c r="H189" i="24"/>
  <c r="Q63" i="25"/>
  <c r="I38" i="25"/>
  <c r="Q87" i="25"/>
  <c r="N7" i="25"/>
  <c r="F41" i="25" s="1"/>
  <c r="N12" i="25"/>
  <c r="F46" i="25" s="1"/>
  <c r="T45" i="25" s="1"/>
  <c r="N14" i="25"/>
  <c r="F48" i="25" s="1"/>
  <c r="N20" i="25"/>
  <c r="F54" i="25" s="1"/>
  <c r="H172" i="24"/>
  <c r="N11" i="25" s="1"/>
  <c r="F45" i="25" s="1"/>
  <c r="T43" i="25" s="1"/>
  <c r="H171" i="24"/>
  <c r="N10" i="25" s="1"/>
  <c r="F44" i="25" s="1"/>
  <c r="H176" i="24"/>
  <c r="N15" i="25" s="1"/>
  <c r="F49" i="25" s="1"/>
  <c r="H167" i="24"/>
  <c r="N6" i="25" s="1"/>
  <c r="F40" i="25" s="1"/>
  <c r="H174" i="24"/>
  <c r="N13" i="25" s="1"/>
  <c r="F47" i="25" s="1"/>
  <c r="H169" i="24"/>
  <c r="N8" i="25" s="1"/>
  <c r="F42" i="25" s="1"/>
  <c r="H170" i="24"/>
  <c r="N9" i="25" s="1"/>
  <c r="F43" i="25" s="1"/>
  <c r="H177" i="24"/>
  <c r="N16" i="25" s="1"/>
  <c r="F50" i="25" s="1"/>
  <c r="P241" i="2"/>
  <c r="P223" i="2"/>
  <c r="P179" i="2"/>
  <c r="T186" i="2" s="1"/>
  <c r="P51" i="2"/>
  <c r="T219" i="2"/>
  <c r="T220" i="2"/>
  <c r="S218" i="2"/>
  <c r="U220" i="2"/>
  <c r="U219" i="2"/>
  <c r="Q220" i="2"/>
  <c r="R220" i="2"/>
  <c r="R219" i="2"/>
  <c r="Q219" i="2"/>
  <c r="N218" i="2"/>
  <c r="P197" i="2"/>
  <c r="T204" i="2" s="1"/>
  <c r="Q158" i="2"/>
  <c r="R158" i="2"/>
  <c r="U158" i="2"/>
  <c r="U157" i="2"/>
  <c r="S156" i="2"/>
  <c r="N156" i="2"/>
  <c r="R157" i="2"/>
  <c r="Q157" i="2"/>
  <c r="T250" i="2" l="1"/>
  <c r="T254" i="2"/>
  <c r="Y242" i="2"/>
  <c r="Y241" i="2"/>
  <c r="T248" i="2"/>
  <c r="T252" i="2"/>
  <c r="T249" i="2"/>
  <c r="S240" i="2"/>
  <c r="T97" i="25"/>
  <c r="T73" i="25"/>
  <c r="T42" i="25"/>
  <c r="T66" i="25" s="1"/>
  <c r="T47" i="25"/>
  <c r="T95" i="25" s="1"/>
  <c r="T41" i="25"/>
  <c r="I167" i="24"/>
  <c r="O6" i="25" s="1"/>
  <c r="T40" i="25"/>
  <c r="T88" i="25" s="1"/>
  <c r="T46" i="25"/>
  <c r="T70" i="25" s="1"/>
  <c r="I174" i="24"/>
  <c r="O13" i="25" s="1"/>
  <c r="N21" i="25"/>
  <c r="F55" i="25" s="1"/>
  <c r="T91" i="25"/>
  <c r="T67" i="25"/>
  <c r="I185" i="24"/>
  <c r="O24" i="25" s="1"/>
  <c r="N24" i="25"/>
  <c r="F58" i="25" s="1"/>
  <c r="T53" i="25" s="1"/>
  <c r="I187" i="24"/>
  <c r="O26" i="25" s="1"/>
  <c r="N26" i="25"/>
  <c r="F60" i="25" s="1"/>
  <c r="N22" i="25"/>
  <c r="F56" i="25" s="1"/>
  <c r="N23" i="25"/>
  <c r="F57" i="25" s="1"/>
  <c r="T93" i="25"/>
  <c r="T69" i="25"/>
  <c r="N28" i="25"/>
  <c r="F62" i="25" s="1"/>
  <c r="I180" i="24"/>
  <c r="O19" i="25" s="1"/>
  <c r="N19" i="25"/>
  <c r="F53" i="25" s="1"/>
  <c r="N29" i="25"/>
  <c r="F63" i="25" s="1"/>
  <c r="T103" i="25"/>
  <c r="T79" i="25"/>
  <c r="AA157" i="2"/>
  <c r="AA220" i="2"/>
  <c r="AA158" i="2"/>
  <c r="AA219" i="2"/>
  <c r="I172" i="24"/>
  <c r="O11" i="25" s="1"/>
  <c r="S178" i="2"/>
  <c r="T192" i="2"/>
  <c r="T190" i="2"/>
  <c r="T188" i="2"/>
  <c r="T187" i="2"/>
  <c r="T210" i="2"/>
  <c r="T206" i="2"/>
  <c r="S196" i="2"/>
  <c r="T205" i="2"/>
  <c r="T208" i="2"/>
  <c r="I169" i="24" l="1"/>
  <c r="O8" i="25" s="1"/>
  <c r="T71" i="25"/>
  <c r="T65" i="25"/>
  <c r="T44" i="25"/>
  <c r="I170" i="24"/>
  <c r="O9" i="25" s="1"/>
  <c r="T89" i="25"/>
  <c r="T90" i="25"/>
  <c r="T56" i="25"/>
  <c r="T80" i="25" s="1"/>
  <c r="I189" i="24"/>
  <c r="O28" i="25" s="1"/>
  <c r="T57" i="25"/>
  <c r="T81" i="25" s="1"/>
  <c r="I190" i="24"/>
  <c r="O29" i="25" s="1"/>
  <c r="T64" i="25"/>
  <c r="T51" i="25"/>
  <c r="T94" i="25"/>
  <c r="I171" i="24"/>
  <c r="O10" i="25" s="1"/>
  <c r="I177" i="24"/>
  <c r="O16" i="25" s="1"/>
  <c r="I176" i="24"/>
  <c r="O15" i="25" s="1"/>
  <c r="I183" i="24"/>
  <c r="O22" i="25" s="1"/>
  <c r="T101" i="25"/>
  <c r="T77" i="25"/>
  <c r="I182" i="24"/>
  <c r="O21" i="25" s="1"/>
  <c r="T50" i="25"/>
  <c r="I184" i="24"/>
  <c r="O23" i="25" s="1"/>
  <c r="T52" i="25"/>
  <c r="C531" i="1"/>
  <c r="C532" i="1" s="1"/>
  <c r="C529" i="1"/>
  <c r="R525" i="1"/>
  <c r="R524" i="1"/>
  <c r="Q522" i="1"/>
  <c r="C477" i="1"/>
  <c r="C478" i="1" s="1"/>
  <c r="C475" i="1"/>
  <c r="R471" i="1"/>
  <c r="R470" i="1"/>
  <c r="Q468" i="1"/>
  <c r="C423" i="1"/>
  <c r="C424" i="1" s="1"/>
  <c r="C421" i="1"/>
  <c r="R417" i="1"/>
  <c r="R416" i="1"/>
  <c r="Q414" i="1"/>
  <c r="C369" i="1"/>
  <c r="C370" i="1" s="1"/>
  <c r="C367" i="1"/>
  <c r="R363" i="1"/>
  <c r="R362" i="1"/>
  <c r="Q360" i="1"/>
  <c r="C315" i="1"/>
  <c r="C316" i="1" s="1"/>
  <c r="C313" i="1"/>
  <c r="R309" i="1"/>
  <c r="R308" i="1"/>
  <c r="Q306" i="1"/>
  <c r="C261" i="1"/>
  <c r="C262" i="1" s="1"/>
  <c r="C259" i="1"/>
  <c r="R255" i="1"/>
  <c r="R254" i="1"/>
  <c r="Q252" i="1"/>
  <c r="C207" i="1"/>
  <c r="C208" i="1" s="1"/>
  <c r="C205" i="1"/>
  <c r="R201" i="1"/>
  <c r="R200" i="1"/>
  <c r="Q198" i="1"/>
  <c r="C99" i="1"/>
  <c r="C100" i="1" s="1"/>
  <c r="C97" i="1"/>
  <c r="R93" i="1"/>
  <c r="R92" i="1"/>
  <c r="Q90" i="1"/>
  <c r="Q144" i="1"/>
  <c r="R146" i="1"/>
  <c r="R147" i="1"/>
  <c r="Q36" i="1"/>
  <c r="C153" i="1"/>
  <c r="C154" i="1" s="1"/>
  <c r="C151" i="1"/>
  <c r="R38" i="1"/>
  <c r="R39" i="1"/>
  <c r="C43" i="1"/>
  <c r="C45" i="1"/>
  <c r="C46" i="1" s="1"/>
  <c r="T68" i="25" l="1"/>
  <c r="T92" i="25"/>
  <c r="T104" i="25"/>
  <c r="T99" i="25"/>
  <c r="T54" i="25"/>
  <c r="T105" i="25"/>
  <c r="T75" i="25"/>
  <c r="T100" i="25"/>
  <c r="T76" i="25"/>
  <c r="T98" i="25"/>
  <c r="T74" i="25"/>
  <c r="C536" i="1"/>
  <c r="C482" i="1"/>
  <c r="C50" i="1"/>
  <c r="C266" i="1"/>
  <c r="C212" i="1"/>
  <c r="C428" i="1"/>
  <c r="C374" i="1"/>
  <c r="C320" i="1"/>
  <c r="C158" i="1"/>
  <c r="C104" i="1"/>
  <c r="T78" i="25" l="1"/>
  <c r="T102" i="25"/>
  <c r="P70" i="2" l="1"/>
  <c r="C51" i="21"/>
  <c r="I51" i="21"/>
  <c r="I37" i="21"/>
  <c r="C37" i="21"/>
  <c r="I23" i="21"/>
  <c r="C23" i="21"/>
  <c r="I9" i="21"/>
  <c r="C9" i="21"/>
  <c r="X303" i="3"/>
  <c r="X304" i="3" s="1"/>
  <c r="X301" i="3"/>
  <c r="X118" i="3"/>
  <c r="X119" i="3" s="1"/>
  <c r="X116" i="3"/>
  <c r="N92" i="2"/>
  <c r="X308" i="3" l="1"/>
  <c r="X123" i="3"/>
  <c r="P97" i="2" l="1"/>
  <c r="T93" i="2"/>
  <c r="T94" i="2"/>
  <c r="U94" i="2"/>
  <c r="U93" i="2"/>
  <c r="Q94" i="2"/>
  <c r="R94" i="2"/>
  <c r="R93" i="2"/>
  <c r="Q93" i="2"/>
  <c r="S92" i="2"/>
  <c r="AA94" i="2" l="1"/>
  <c r="AA93" i="2"/>
  <c r="U29" i="2"/>
  <c r="R29" i="2"/>
  <c r="Q29" i="2"/>
  <c r="U28" i="2"/>
  <c r="R28" i="2"/>
  <c r="Q28" i="2"/>
  <c r="N27" i="2"/>
  <c r="P28" i="2"/>
  <c r="S27" i="2" s="1"/>
  <c r="I55" i="21"/>
  <c r="I54" i="21"/>
  <c r="I53" i="21"/>
  <c r="I50" i="21"/>
  <c r="I49" i="21"/>
  <c r="I48" i="21"/>
  <c r="I47" i="21"/>
  <c r="C55" i="21"/>
  <c r="C54" i="21"/>
  <c r="C53" i="21"/>
  <c r="C48" i="21"/>
  <c r="C49" i="21"/>
  <c r="C50" i="21"/>
  <c r="C47" i="21"/>
  <c r="I41" i="21"/>
  <c r="I40" i="21"/>
  <c r="I39" i="21"/>
  <c r="I36" i="21"/>
  <c r="I35" i="21"/>
  <c r="I34" i="21"/>
  <c r="I33" i="21"/>
  <c r="C40" i="21"/>
  <c r="C41" i="21"/>
  <c r="C39" i="21"/>
  <c r="C36" i="21"/>
  <c r="C34" i="21"/>
  <c r="C35" i="21"/>
  <c r="C33" i="21"/>
  <c r="C68" i="21"/>
  <c r="C67" i="21"/>
  <c r="C66" i="21"/>
  <c r="C64" i="21"/>
  <c r="C63" i="21"/>
  <c r="C62" i="21"/>
  <c r="C61" i="21"/>
  <c r="I27" i="21"/>
  <c r="I26" i="21"/>
  <c r="I25" i="21"/>
  <c r="I22" i="21"/>
  <c r="I21" i="21"/>
  <c r="I20" i="21"/>
  <c r="I19" i="21"/>
  <c r="C26" i="21"/>
  <c r="C27" i="21"/>
  <c r="C25" i="21"/>
  <c r="C20" i="21"/>
  <c r="C21" i="21"/>
  <c r="C22" i="21"/>
  <c r="C19" i="21"/>
  <c r="AA29" i="2" l="1"/>
  <c r="AA28" i="2"/>
  <c r="Y224" i="2" l="1"/>
  <c r="Y223" i="2"/>
  <c r="Y117" i="2"/>
  <c r="Y116" i="2"/>
  <c r="Y98" i="2"/>
  <c r="Y97" i="2"/>
  <c r="X377" i="3" l="1"/>
  <c r="X378" i="3" s="1"/>
  <c r="X375" i="3"/>
  <c r="X340" i="3"/>
  <c r="X341" i="3" s="1"/>
  <c r="X338" i="3"/>
  <c r="X266" i="3"/>
  <c r="X267" i="3" s="1"/>
  <c r="X264" i="3"/>
  <c r="X227" i="3"/>
  <c r="X229" i="3"/>
  <c r="X230" i="3" s="1"/>
  <c r="X192" i="3"/>
  <c r="X193" i="3" s="1"/>
  <c r="X190" i="3"/>
  <c r="X155" i="3"/>
  <c r="X156" i="3" s="1"/>
  <c r="X153" i="3"/>
  <c r="X81" i="3"/>
  <c r="X82" i="3" s="1"/>
  <c r="X79" i="3"/>
  <c r="X44" i="3"/>
  <c r="X45" i="3" s="1"/>
  <c r="X42" i="3"/>
  <c r="Q198" i="2"/>
  <c r="R198" i="2"/>
  <c r="U198" i="2"/>
  <c r="V198" i="2"/>
  <c r="Q199" i="2"/>
  <c r="R199" i="2"/>
  <c r="U199" i="2"/>
  <c r="Q200" i="2"/>
  <c r="R200" i="2"/>
  <c r="U200" i="2"/>
  <c r="Q201" i="2"/>
  <c r="R201" i="2"/>
  <c r="U201" i="2"/>
  <c r="Q202" i="2"/>
  <c r="R202" i="2"/>
  <c r="U202" i="2"/>
  <c r="Q203" i="2"/>
  <c r="R203" i="2"/>
  <c r="U203" i="2"/>
  <c r="Q204" i="2"/>
  <c r="R204" i="2"/>
  <c r="U204" i="2"/>
  <c r="Q205" i="2"/>
  <c r="R205" i="2"/>
  <c r="U205" i="2"/>
  <c r="Q206" i="2"/>
  <c r="R206" i="2"/>
  <c r="U206" i="2"/>
  <c r="Q207" i="2"/>
  <c r="R207" i="2"/>
  <c r="U207" i="2"/>
  <c r="V207" i="2"/>
  <c r="Q208" i="2"/>
  <c r="R208" i="2"/>
  <c r="U208" i="2"/>
  <c r="Q209" i="2"/>
  <c r="R209" i="2"/>
  <c r="U209" i="2"/>
  <c r="V209" i="2"/>
  <c r="Q210" i="2"/>
  <c r="R210" i="2"/>
  <c r="U210" i="2"/>
  <c r="Q211" i="2"/>
  <c r="R211" i="2"/>
  <c r="U211" i="2"/>
  <c r="V211" i="2"/>
  <c r="Q212" i="2"/>
  <c r="R212" i="2"/>
  <c r="U212" i="2"/>
  <c r="V212" i="2"/>
  <c r="U197" i="2"/>
  <c r="R197" i="2"/>
  <c r="Q197" i="2"/>
  <c r="N196" i="2"/>
  <c r="Q180" i="2"/>
  <c r="R180" i="2"/>
  <c r="U180" i="2"/>
  <c r="V180" i="2"/>
  <c r="Q181" i="2"/>
  <c r="R181" i="2"/>
  <c r="U181" i="2"/>
  <c r="Q182" i="2"/>
  <c r="R182" i="2"/>
  <c r="U182" i="2"/>
  <c r="Q183" i="2"/>
  <c r="R183" i="2"/>
  <c r="U183" i="2"/>
  <c r="Q184" i="2"/>
  <c r="R184" i="2"/>
  <c r="U184" i="2"/>
  <c r="Q185" i="2"/>
  <c r="R185" i="2"/>
  <c r="U185" i="2"/>
  <c r="Q186" i="2"/>
  <c r="R186" i="2"/>
  <c r="U186" i="2"/>
  <c r="Q187" i="2"/>
  <c r="R187" i="2"/>
  <c r="U187" i="2"/>
  <c r="Q188" i="2"/>
  <c r="R188" i="2"/>
  <c r="U188" i="2"/>
  <c r="Q189" i="2"/>
  <c r="R189" i="2"/>
  <c r="U189" i="2"/>
  <c r="V189" i="2"/>
  <c r="Q190" i="2"/>
  <c r="R190" i="2"/>
  <c r="U190" i="2"/>
  <c r="Q191" i="2"/>
  <c r="R191" i="2"/>
  <c r="U191" i="2"/>
  <c r="V191" i="2"/>
  <c r="Q192" i="2"/>
  <c r="R192" i="2"/>
  <c r="U192" i="2"/>
  <c r="Q193" i="2"/>
  <c r="R193" i="2"/>
  <c r="U193" i="2"/>
  <c r="V193" i="2"/>
  <c r="Q194" i="2"/>
  <c r="R194" i="2"/>
  <c r="U194" i="2"/>
  <c r="V194" i="2"/>
  <c r="U179" i="2"/>
  <c r="R179" i="2"/>
  <c r="Q179" i="2"/>
  <c r="N178" i="2"/>
  <c r="Q242" i="2"/>
  <c r="R242" i="2"/>
  <c r="U242" i="2"/>
  <c r="V242" i="2"/>
  <c r="Q243" i="2"/>
  <c r="R243" i="2"/>
  <c r="U243" i="2"/>
  <c r="Q244" i="2"/>
  <c r="R244" i="2"/>
  <c r="U244" i="2"/>
  <c r="Q245" i="2"/>
  <c r="R245" i="2"/>
  <c r="U245" i="2"/>
  <c r="Q246" i="2"/>
  <c r="R246" i="2"/>
  <c r="U246" i="2"/>
  <c r="Q247" i="2"/>
  <c r="R247" i="2"/>
  <c r="U247" i="2"/>
  <c r="Q248" i="2"/>
  <c r="R248" i="2"/>
  <c r="U248" i="2"/>
  <c r="Q249" i="2"/>
  <c r="R249" i="2"/>
  <c r="U249" i="2"/>
  <c r="Q250" i="2"/>
  <c r="R250" i="2"/>
  <c r="U250" i="2"/>
  <c r="Q251" i="2"/>
  <c r="R251" i="2"/>
  <c r="U251" i="2"/>
  <c r="V251" i="2"/>
  <c r="Q252" i="2"/>
  <c r="R252" i="2"/>
  <c r="U252" i="2"/>
  <c r="Q253" i="2"/>
  <c r="R253" i="2"/>
  <c r="U253" i="2"/>
  <c r="V253" i="2"/>
  <c r="Q254" i="2"/>
  <c r="R254" i="2"/>
  <c r="U254" i="2"/>
  <c r="Q255" i="2"/>
  <c r="R255" i="2"/>
  <c r="U255" i="2"/>
  <c r="V255" i="2"/>
  <c r="Q256" i="2"/>
  <c r="R256" i="2"/>
  <c r="U256" i="2"/>
  <c r="V256" i="2"/>
  <c r="N240" i="2"/>
  <c r="U241" i="2"/>
  <c r="R241" i="2"/>
  <c r="Q241" i="2"/>
  <c r="Q224" i="2"/>
  <c r="R224" i="2"/>
  <c r="U224" i="2"/>
  <c r="V224" i="2"/>
  <c r="Q225" i="2"/>
  <c r="R225" i="2"/>
  <c r="U225" i="2"/>
  <c r="Q226" i="2"/>
  <c r="R226" i="2"/>
  <c r="U226" i="2"/>
  <c r="Q227" i="2"/>
  <c r="R227" i="2"/>
  <c r="U227" i="2"/>
  <c r="Q228" i="2"/>
  <c r="R228" i="2"/>
  <c r="U228" i="2"/>
  <c r="Q229" i="2"/>
  <c r="R229" i="2"/>
  <c r="U229" i="2"/>
  <c r="Q230" i="2"/>
  <c r="R230" i="2"/>
  <c r="T230" i="2"/>
  <c r="U230" i="2"/>
  <c r="Q231" i="2"/>
  <c r="R231" i="2"/>
  <c r="T231" i="2"/>
  <c r="U231" i="2"/>
  <c r="Q232" i="2"/>
  <c r="R232" i="2"/>
  <c r="T232" i="2"/>
  <c r="U232" i="2"/>
  <c r="Q233" i="2"/>
  <c r="R233" i="2"/>
  <c r="U233" i="2"/>
  <c r="V233" i="2"/>
  <c r="Q234" i="2"/>
  <c r="R234" i="2"/>
  <c r="T234" i="2"/>
  <c r="U234" i="2"/>
  <c r="Q235" i="2"/>
  <c r="R235" i="2"/>
  <c r="U235" i="2"/>
  <c r="V235" i="2"/>
  <c r="Q236" i="2"/>
  <c r="R236" i="2"/>
  <c r="T236" i="2"/>
  <c r="U236" i="2"/>
  <c r="Q237" i="2"/>
  <c r="R237" i="2"/>
  <c r="U237" i="2"/>
  <c r="V237" i="2"/>
  <c r="Q238" i="2"/>
  <c r="R238" i="2"/>
  <c r="U238" i="2"/>
  <c r="V238" i="2"/>
  <c r="S222" i="2"/>
  <c r="U223" i="2"/>
  <c r="R223" i="2"/>
  <c r="Q223" i="2"/>
  <c r="N222" i="2"/>
  <c r="Q216" i="2"/>
  <c r="R216" i="2"/>
  <c r="T216" i="2"/>
  <c r="U216" i="2"/>
  <c r="T215" i="2"/>
  <c r="S214" i="2"/>
  <c r="U215" i="2"/>
  <c r="R215" i="2"/>
  <c r="Q215" i="2"/>
  <c r="AA253" i="2" l="1"/>
  <c r="AA250" i="2"/>
  <c r="AA179" i="2"/>
  <c r="AA232" i="2"/>
  <c r="AA210" i="2"/>
  <c r="AA236" i="2"/>
  <c r="AA234" i="2"/>
  <c r="AA188" i="2"/>
  <c r="AA238" i="2"/>
  <c r="AA230" i="2"/>
  <c r="AA244" i="2"/>
  <c r="AA200" i="2"/>
  <c r="AA251" i="2"/>
  <c r="AA243" i="2"/>
  <c r="AA211" i="2"/>
  <c r="AA189" i="2"/>
  <c r="AA181" i="2"/>
  <c r="AA216" i="2"/>
  <c r="AA225" i="2"/>
  <c r="AA255" i="2"/>
  <c r="AA252" i="2"/>
  <c r="AA249" i="2"/>
  <c r="AA193" i="2"/>
  <c r="AA183" i="2"/>
  <c r="AA208" i="2"/>
  <c r="AA203" i="2"/>
  <c r="AA223" i="2"/>
  <c r="AA227" i="2"/>
  <c r="AA256" i="2"/>
  <c r="AA247" i="2"/>
  <c r="AA229" i="2"/>
  <c r="AA245" i="2"/>
  <c r="AA242" i="2"/>
  <c r="AA237" i="2"/>
  <c r="AA235" i="2"/>
  <c r="AA233" i="2"/>
  <c r="AA231" i="2"/>
  <c r="AA226" i="2"/>
  <c r="AA241" i="2"/>
  <c r="AA254" i="2"/>
  <c r="AA248" i="2"/>
  <c r="AA228" i="2"/>
  <c r="AA246" i="2"/>
  <c r="AA224" i="2"/>
  <c r="AA198" i="2"/>
  <c r="AA202" i="2"/>
  <c r="AA197" i="2"/>
  <c r="AA215" i="2"/>
  <c r="AA201" i="2"/>
  <c r="AA194" i="2"/>
  <c r="AA187" i="2"/>
  <c r="AA207" i="2"/>
  <c r="AA199" i="2"/>
  <c r="AA185" i="2"/>
  <c r="AA205" i="2"/>
  <c r="AA192" i="2"/>
  <c r="AA184" i="2"/>
  <c r="AA209" i="2"/>
  <c r="AA204" i="2"/>
  <c r="AA190" i="2"/>
  <c r="AA212" i="2"/>
  <c r="AA182" i="2"/>
  <c r="AA191" i="2"/>
  <c r="AA186" i="2"/>
  <c r="AA206" i="2"/>
  <c r="AA180" i="2"/>
  <c r="X345" i="3"/>
  <c r="X382" i="3"/>
  <c r="X271" i="3"/>
  <c r="X234" i="3"/>
  <c r="X197" i="3"/>
  <c r="X160" i="3"/>
  <c r="X86" i="3"/>
  <c r="X49" i="3"/>
  <c r="Q162" i="2"/>
  <c r="R162" i="2"/>
  <c r="U162" i="2"/>
  <c r="V162" i="2"/>
  <c r="Q163" i="2"/>
  <c r="R163" i="2"/>
  <c r="U163" i="2"/>
  <c r="Q164" i="2"/>
  <c r="R164" i="2"/>
  <c r="U164" i="2"/>
  <c r="Q165" i="2"/>
  <c r="R165" i="2"/>
  <c r="U165" i="2"/>
  <c r="Q166" i="2"/>
  <c r="R166" i="2"/>
  <c r="U166" i="2"/>
  <c r="Q167" i="2"/>
  <c r="R167" i="2"/>
  <c r="U167" i="2"/>
  <c r="Q168" i="2"/>
  <c r="R168" i="2"/>
  <c r="T168" i="2"/>
  <c r="U168" i="2"/>
  <c r="Q169" i="2"/>
  <c r="R169" i="2"/>
  <c r="T169" i="2"/>
  <c r="U169" i="2"/>
  <c r="Q170" i="2"/>
  <c r="R170" i="2"/>
  <c r="T170" i="2"/>
  <c r="U170" i="2"/>
  <c r="Q171" i="2"/>
  <c r="R171" i="2"/>
  <c r="U171" i="2"/>
  <c r="V171" i="2"/>
  <c r="Q172" i="2"/>
  <c r="R172" i="2"/>
  <c r="T172" i="2"/>
  <c r="U172" i="2"/>
  <c r="Q173" i="2"/>
  <c r="R173" i="2"/>
  <c r="U173" i="2"/>
  <c r="V173" i="2"/>
  <c r="Q174" i="2"/>
  <c r="R174" i="2"/>
  <c r="T174" i="2"/>
  <c r="U174" i="2"/>
  <c r="Q175" i="2"/>
  <c r="R175" i="2"/>
  <c r="U175" i="2"/>
  <c r="V175" i="2"/>
  <c r="Q176" i="2"/>
  <c r="R176" i="2"/>
  <c r="U176" i="2"/>
  <c r="V176" i="2"/>
  <c r="U136" i="2"/>
  <c r="V136" i="2"/>
  <c r="U137" i="2"/>
  <c r="U138" i="2"/>
  <c r="U139" i="2"/>
  <c r="U140" i="2"/>
  <c r="U141" i="2"/>
  <c r="T142" i="2"/>
  <c r="U142" i="2"/>
  <c r="T143" i="2"/>
  <c r="U143" i="2"/>
  <c r="U144" i="2"/>
  <c r="V144" i="2"/>
  <c r="T145" i="2"/>
  <c r="U145" i="2"/>
  <c r="U146" i="2"/>
  <c r="V146" i="2"/>
  <c r="T147" i="2"/>
  <c r="U147" i="2"/>
  <c r="U148" i="2"/>
  <c r="V148" i="2"/>
  <c r="T149" i="2"/>
  <c r="U149" i="2"/>
  <c r="U150" i="2"/>
  <c r="V150" i="2"/>
  <c r="U135" i="2"/>
  <c r="T134" i="2"/>
  <c r="S134" i="2"/>
  <c r="N134" i="2"/>
  <c r="S160" i="2"/>
  <c r="U161" i="2"/>
  <c r="R161" i="2"/>
  <c r="Q161" i="2"/>
  <c r="N115" i="2"/>
  <c r="AA172" i="2" l="1"/>
  <c r="AA163" i="2"/>
  <c r="AA170" i="2"/>
  <c r="AA176" i="2"/>
  <c r="AA164" i="2"/>
  <c r="AA173" i="2"/>
  <c r="AA165" i="2"/>
  <c r="AA166" i="2"/>
  <c r="AA168" i="2"/>
  <c r="AA169" i="2"/>
  <c r="AA162" i="2"/>
  <c r="AA174" i="2"/>
  <c r="AA161" i="2"/>
  <c r="AA167" i="2"/>
  <c r="AA171" i="2"/>
  <c r="AA175" i="2"/>
  <c r="I8" i="21"/>
  <c r="I13" i="21"/>
  <c r="I12" i="21"/>
  <c r="I11" i="21"/>
  <c r="I7" i="21"/>
  <c r="I6" i="21"/>
  <c r="I5" i="21"/>
  <c r="I64" i="21"/>
  <c r="I68" i="21"/>
  <c r="I67" i="21"/>
  <c r="I66" i="21"/>
  <c r="I63" i="21"/>
  <c r="I62" i="21"/>
  <c r="I61" i="21"/>
  <c r="C6" i="21"/>
  <c r="C7" i="21"/>
  <c r="C11" i="21"/>
  <c r="C12" i="21"/>
  <c r="C13" i="21"/>
  <c r="C8" i="21"/>
  <c r="C5" i="21"/>
  <c r="Q90" i="2" l="1"/>
  <c r="R90" i="2"/>
  <c r="T90" i="2"/>
  <c r="U90" i="2"/>
  <c r="T89" i="2"/>
  <c r="S88" i="2"/>
  <c r="U89" i="2"/>
  <c r="R89" i="2"/>
  <c r="Q89" i="2"/>
  <c r="AA89" i="2" l="1"/>
  <c r="AA90" i="2"/>
  <c r="M279" i="2" l="1"/>
  <c r="M280" i="2"/>
  <c r="M281" i="2"/>
  <c r="M282" i="2"/>
  <c r="M283" i="2"/>
  <c r="M284" i="2"/>
  <c r="M285" i="2"/>
  <c r="M286" i="2"/>
  <c r="M287" i="2"/>
  <c r="M288" i="2"/>
  <c r="M289" i="2"/>
  <c r="M290" i="2"/>
  <c r="M291" i="2"/>
  <c r="M393" i="2"/>
  <c r="M394" i="2"/>
  <c r="M395" i="2"/>
  <c r="M396" i="2"/>
  <c r="M397" i="2"/>
  <c r="M398" i="2"/>
  <c r="M399" i="2"/>
  <c r="M400" i="2"/>
  <c r="M401" i="2"/>
  <c r="M402" i="2"/>
  <c r="M403" i="2"/>
  <c r="M404" i="2"/>
  <c r="M405" i="2"/>
  <c r="M263" i="2"/>
  <c r="M264" i="2"/>
  <c r="M265" i="2"/>
  <c r="M266" i="2"/>
  <c r="M267" i="2"/>
  <c r="M268" i="2"/>
  <c r="M269" i="2"/>
  <c r="M270" i="2"/>
  <c r="M271" i="2"/>
  <c r="M272" i="2"/>
  <c r="M273" i="2"/>
  <c r="M274" i="2"/>
  <c r="M275" i="2"/>
  <c r="M278" i="2"/>
  <c r="M392" i="2"/>
  <c r="M262" i="2"/>
  <c r="M224" i="2"/>
  <c r="M225" i="2"/>
  <c r="M226" i="2"/>
  <c r="M227" i="2"/>
  <c r="M228" i="2"/>
  <c r="M229" i="2"/>
  <c r="M230" i="2"/>
  <c r="M231" i="2"/>
  <c r="M232" i="2"/>
  <c r="M233" i="2"/>
  <c r="M234" i="2"/>
  <c r="M235" i="2"/>
  <c r="M236" i="2"/>
  <c r="M237" i="2"/>
  <c r="M238" i="2"/>
  <c r="M223" i="2"/>
  <c r="M98" i="2"/>
  <c r="M99" i="2"/>
  <c r="M100" i="2"/>
  <c r="M101" i="2"/>
  <c r="M102" i="2"/>
  <c r="M103" i="2"/>
  <c r="M104" i="2"/>
  <c r="M105" i="2"/>
  <c r="M106" i="2"/>
  <c r="M107" i="2"/>
  <c r="M108" i="2"/>
  <c r="M109" i="2"/>
  <c r="M110" i="2"/>
  <c r="M111" i="2"/>
  <c r="M112" i="2"/>
  <c r="M97" i="2"/>
  <c r="M216" i="2"/>
  <c r="M215" i="2"/>
  <c r="M90" i="2"/>
  <c r="M162" i="2"/>
  <c r="M163" i="2"/>
  <c r="M164" i="2"/>
  <c r="M165" i="2"/>
  <c r="M166" i="2"/>
  <c r="M167" i="2"/>
  <c r="M168" i="2"/>
  <c r="M169" i="2"/>
  <c r="M170" i="2"/>
  <c r="M171" i="2"/>
  <c r="M172" i="2"/>
  <c r="M173" i="2"/>
  <c r="M174" i="2"/>
  <c r="M175" i="2"/>
  <c r="M176" i="2"/>
  <c r="M89" i="2"/>
  <c r="M161" i="2"/>
  <c r="M33" i="2"/>
  <c r="M34" i="2"/>
  <c r="M35" i="2"/>
  <c r="M36" i="2"/>
  <c r="M37" i="2"/>
  <c r="M38" i="2"/>
  <c r="M39" i="2"/>
  <c r="M40" i="2"/>
  <c r="M41" i="2"/>
  <c r="M42" i="2"/>
  <c r="M43" i="2"/>
  <c r="M44" i="2"/>
  <c r="M45" i="2"/>
  <c r="M46" i="2"/>
  <c r="M47" i="2"/>
  <c r="M32" i="2"/>
  <c r="M154" i="2"/>
  <c r="M153" i="2"/>
  <c r="M25" i="2"/>
  <c r="M24" i="2"/>
  <c r="M136" i="2"/>
  <c r="M137" i="2"/>
  <c r="M138" i="2"/>
  <c r="M139" i="2"/>
  <c r="M140" i="2"/>
  <c r="M141" i="2"/>
  <c r="M142" i="2"/>
  <c r="M143" i="2"/>
  <c r="M144" i="2"/>
  <c r="M145" i="2"/>
  <c r="M146" i="2"/>
  <c r="M147" i="2"/>
  <c r="M148" i="2"/>
  <c r="M149" i="2"/>
  <c r="M150" i="2"/>
  <c r="M135" i="2"/>
  <c r="M8" i="2"/>
  <c r="M9" i="2"/>
  <c r="M10" i="2"/>
  <c r="M11" i="2"/>
  <c r="M12" i="2"/>
  <c r="M13" i="2"/>
  <c r="M14" i="2"/>
  <c r="M15" i="2"/>
  <c r="M16" i="2"/>
  <c r="M17" i="2"/>
  <c r="M18" i="2"/>
  <c r="M19" i="2"/>
  <c r="M20" i="2"/>
  <c r="M21" i="2"/>
  <c r="M6" i="2"/>
  <c r="V117" i="2" l="1"/>
  <c r="V126" i="2"/>
  <c r="V128" i="2"/>
  <c r="V130" i="2"/>
  <c r="V131" i="2"/>
  <c r="U116" i="2"/>
  <c r="U117" i="2"/>
  <c r="U118" i="2"/>
  <c r="U119" i="2"/>
  <c r="U120" i="2"/>
  <c r="U121" i="2"/>
  <c r="U122" i="2"/>
  <c r="U123" i="2"/>
  <c r="U124" i="2"/>
  <c r="U125" i="2"/>
  <c r="U126" i="2"/>
  <c r="U127" i="2"/>
  <c r="U128" i="2"/>
  <c r="U129" i="2"/>
  <c r="U130" i="2"/>
  <c r="U131" i="2"/>
  <c r="T123" i="2"/>
  <c r="T124" i="2"/>
  <c r="T125" i="2"/>
  <c r="T127" i="2"/>
  <c r="T129" i="2"/>
  <c r="Q117" i="2"/>
  <c r="R117" i="2"/>
  <c r="Q118" i="2"/>
  <c r="R118" i="2"/>
  <c r="Q119" i="2"/>
  <c r="R119" i="2"/>
  <c r="Q120" i="2"/>
  <c r="R120" i="2"/>
  <c r="Q121" i="2"/>
  <c r="R121" i="2"/>
  <c r="Q122" i="2"/>
  <c r="R122" i="2"/>
  <c r="Q123" i="2"/>
  <c r="R123" i="2"/>
  <c r="Q124" i="2"/>
  <c r="R124" i="2"/>
  <c r="Q125" i="2"/>
  <c r="R125" i="2"/>
  <c r="Q126" i="2"/>
  <c r="R126" i="2"/>
  <c r="Q127" i="2"/>
  <c r="R127" i="2"/>
  <c r="Q128" i="2"/>
  <c r="R128" i="2"/>
  <c r="Q129" i="2"/>
  <c r="R129" i="2"/>
  <c r="Q130" i="2"/>
  <c r="R130" i="2"/>
  <c r="Q131" i="2"/>
  <c r="R131" i="2"/>
  <c r="R116" i="2"/>
  <c r="S115" i="2"/>
  <c r="Q116" i="2"/>
  <c r="U98" i="2"/>
  <c r="V98" i="2"/>
  <c r="U99" i="2"/>
  <c r="U100" i="2"/>
  <c r="U101" i="2"/>
  <c r="U102" i="2"/>
  <c r="U103" i="2"/>
  <c r="U104" i="2"/>
  <c r="U105" i="2"/>
  <c r="U106" i="2"/>
  <c r="U107" i="2"/>
  <c r="V107" i="2"/>
  <c r="U108" i="2"/>
  <c r="U109" i="2"/>
  <c r="V109" i="2"/>
  <c r="U110" i="2"/>
  <c r="U111" i="2"/>
  <c r="V111" i="2"/>
  <c r="U112" i="2"/>
  <c r="V112" i="2"/>
  <c r="U97" i="2"/>
  <c r="T104" i="2"/>
  <c r="T105" i="2"/>
  <c r="T106" i="2"/>
  <c r="T108" i="2"/>
  <c r="T110" i="2"/>
  <c r="S96" i="2"/>
  <c r="R97" i="2"/>
  <c r="R98" i="2"/>
  <c r="R99" i="2"/>
  <c r="R100" i="2"/>
  <c r="R101" i="2"/>
  <c r="R102" i="2"/>
  <c r="R103" i="2"/>
  <c r="R104" i="2"/>
  <c r="R105" i="2"/>
  <c r="R106" i="2"/>
  <c r="R107" i="2"/>
  <c r="R108" i="2"/>
  <c r="R109" i="2"/>
  <c r="R110" i="2"/>
  <c r="R111" i="2"/>
  <c r="R112" i="2"/>
  <c r="Q98" i="2"/>
  <c r="Q99" i="2"/>
  <c r="Q100" i="2"/>
  <c r="Q101" i="2"/>
  <c r="Q102" i="2"/>
  <c r="Q103" i="2"/>
  <c r="Q104" i="2"/>
  <c r="Q105" i="2"/>
  <c r="Q106" i="2"/>
  <c r="Q107" i="2"/>
  <c r="Q108" i="2"/>
  <c r="Q109" i="2"/>
  <c r="Q110" i="2"/>
  <c r="Q111" i="2"/>
  <c r="Q112" i="2"/>
  <c r="Q97" i="2"/>
  <c r="N69" i="2"/>
  <c r="N50" i="2"/>
  <c r="N277" i="2"/>
  <c r="N391" i="2"/>
  <c r="N261" i="2"/>
  <c r="N88" i="2"/>
  <c r="N160" i="2"/>
  <c r="N214" i="2"/>
  <c r="N96" i="2"/>
  <c r="N31" i="2"/>
  <c r="N5" i="2"/>
  <c r="U70" i="2"/>
  <c r="U71" i="2"/>
  <c r="V71" i="2"/>
  <c r="U72" i="2"/>
  <c r="U73" i="2"/>
  <c r="U74" i="2"/>
  <c r="U75" i="2"/>
  <c r="U76" i="2"/>
  <c r="U77" i="2"/>
  <c r="U78" i="2"/>
  <c r="U79" i="2"/>
  <c r="U80" i="2"/>
  <c r="V80" i="2"/>
  <c r="U81" i="2"/>
  <c r="U82" i="2"/>
  <c r="V82" i="2"/>
  <c r="U83" i="2"/>
  <c r="U84" i="2"/>
  <c r="V84" i="2"/>
  <c r="V85" i="2"/>
  <c r="U85" i="2"/>
  <c r="T77" i="2"/>
  <c r="T78" i="2"/>
  <c r="T79" i="2"/>
  <c r="T81" i="2"/>
  <c r="T83" i="2"/>
  <c r="Q71" i="2"/>
  <c r="R71" i="2"/>
  <c r="Q72" i="2"/>
  <c r="R72" i="2"/>
  <c r="Q73" i="2"/>
  <c r="R73" i="2"/>
  <c r="Q74" i="2"/>
  <c r="R74" i="2"/>
  <c r="Q75" i="2"/>
  <c r="R75" i="2"/>
  <c r="Q76" i="2"/>
  <c r="R76" i="2"/>
  <c r="Q77" i="2"/>
  <c r="R77" i="2"/>
  <c r="Q78" i="2"/>
  <c r="R78" i="2"/>
  <c r="Q79" i="2"/>
  <c r="R79" i="2"/>
  <c r="Q80" i="2"/>
  <c r="R80" i="2"/>
  <c r="Q81" i="2"/>
  <c r="R81" i="2"/>
  <c r="Q82" i="2"/>
  <c r="R82" i="2"/>
  <c r="Q83" i="2"/>
  <c r="R83" i="2"/>
  <c r="Q84" i="2"/>
  <c r="R84" i="2"/>
  <c r="Q85" i="2"/>
  <c r="R85" i="2"/>
  <c r="R70" i="2"/>
  <c r="Q70" i="2"/>
  <c r="S69" i="2"/>
  <c r="R51" i="2"/>
  <c r="R52" i="2"/>
  <c r="R53" i="2"/>
  <c r="R54" i="2"/>
  <c r="R55" i="2"/>
  <c r="R56" i="2"/>
  <c r="R57" i="2"/>
  <c r="R58" i="2"/>
  <c r="R59" i="2"/>
  <c r="R60" i="2"/>
  <c r="R61" i="2"/>
  <c r="R62" i="2"/>
  <c r="R63" i="2"/>
  <c r="R64" i="2"/>
  <c r="R65" i="2"/>
  <c r="R66" i="2"/>
  <c r="R32" i="2"/>
  <c r="R33" i="2"/>
  <c r="R34" i="2"/>
  <c r="R35" i="2"/>
  <c r="R36" i="2"/>
  <c r="R37" i="2"/>
  <c r="R38" i="2"/>
  <c r="R39" i="2"/>
  <c r="R40" i="2"/>
  <c r="R41" i="2"/>
  <c r="R42" i="2"/>
  <c r="R43" i="2"/>
  <c r="R44" i="2"/>
  <c r="R45" i="2"/>
  <c r="R46" i="2"/>
  <c r="R47" i="2"/>
  <c r="U51" i="2"/>
  <c r="U52" i="2"/>
  <c r="V52" i="2"/>
  <c r="U53" i="2"/>
  <c r="U54" i="2"/>
  <c r="U55" i="2"/>
  <c r="U56" i="2"/>
  <c r="U57" i="2"/>
  <c r="U58" i="2"/>
  <c r="U59" i="2"/>
  <c r="U60" i="2"/>
  <c r="U61" i="2"/>
  <c r="V61" i="2"/>
  <c r="U62" i="2"/>
  <c r="U63" i="2"/>
  <c r="V63" i="2"/>
  <c r="U64" i="2"/>
  <c r="U65" i="2"/>
  <c r="V65" i="2"/>
  <c r="V66" i="2"/>
  <c r="U66" i="2"/>
  <c r="T58" i="2"/>
  <c r="T59" i="2"/>
  <c r="T60" i="2"/>
  <c r="T62" i="2"/>
  <c r="T64" i="2"/>
  <c r="S50" i="2"/>
  <c r="Q52" i="2"/>
  <c r="Q53" i="2"/>
  <c r="Q54" i="2"/>
  <c r="Q55" i="2"/>
  <c r="Q56" i="2"/>
  <c r="Q57" i="2"/>
  <c r="Q58" i="2"/>
  <c r="Q59" i="2"/>
  <c r="Q60" i="2"/>
  <c r="Q61" i="2"/>
  <c r="Q62" i="2"/>
  <c r="Q63" i="2"/>
  <c r="Q64" i="2"/>
  <c r="Q65" i="2"/>
  <c r="Q66" i="2"/>
  <c r="Q51" i="2"/>
  <c r="V47" i="2"/>
  <c r="U47" i="2"/>
  <c r="V46" i="2"/>
  <c r="U46" i="2"/>
  <c r="U45" i="2"/>
  <c r="V44" i="2"/>
  <c r="U44" i="2"/>
  <c r="U43" i="2"/>
  <c r="V42" i="2"/>
  <c r="U42" i="2"/>
  <c r="U41" i="2"/>
  <c r="U40" i="2"/>
  <c r="U39" i="2"/>
  <c r="U38" i="2"/>
  <c r="U37" i="2"/>
  <c r="U36" i="2"/>
  <c r="U35" i="2"/>
  <c r="U34" i="2"/>
  <c r="V33" i="2"/>
  <c r="U33" i="2"/>
  <c r="U32" i="2"/>
  <c r="T6" i="2"/>
  <c r="T13" i="2"/>
  <c r="T14" i="2"/>
  <c r="T16" i="2"/>
  <c r="T18" i="2"/>
  <c r="T20" i="2"/>
  <c r="T5" i="2"/>
  <c r="H41" i="1" s="1"/>
  <c r="H42" i="1" s="1"/>
  <c r="H43" i="1" s="1"/>
  <c r="S5" i="2"/>
  <c r="F41" i="1" s="1"/>
  <c r="Q33" i="2"/>
  <c r="Q34" i="2"/>
  <c r="Q35" i="2"/>
  <c r="Q36" i="2"/>
  <c r="Q37" i="2"/>
  <c r="Q38" i="2"/>
  <c r="Q39" i="2"/>
  <c r="Q40" i="2"/>
  <c r="Q41" i="2"/>
  <c r="Q42" i="2"/>
  <c r="Q43" i="2"/>
  <c r="Q44" i="2"/>
  <c r="Q45" i="2"/>
  <c r="Q46" i="2"/>
  <c r="Q47" i="2"/>
  <c r="Q32" i="2"/>
  <c r="R7" i="2"/>
  <c r="U7" i="2"/>
  <c r="V7" i="2"/>
  <c r="R8" i="2"/>
  <c r="U8" i="2"/>
  <c r="R9" i="2"/>
  <c r="U9" i="2"/>
  <c r="R10" i="2"/>
  <c r="U10" i="2"/>
  <c r="R11" i="2"/>
  <c r="U11" i="2"/>
  <c r="R12" i="2"/>
  <c r="U12" i="2"/>
  <c r="R13" i="2"/>
  <c r="U13" i="2"/>
  <c r="R14" i="2"/>
  <c r="U14" i="2"/>
  <c r="R15" i="2"/>
  <c r="U15" i="2"/>
  <c r="V15" i="2"/>
  <c r="R16" i="2"/>
  <c r="U16" i="2"/>
  <c r="R17" i="2"/>
  <c r="U17" i="2"/>
  <c r="V17" i="2"/>
  <c r="R18" i="2"/>
  <c r="U18" i="2"/>
  <c r="R19" i="2"/>
  <c r="U19" i="2"/>
  <c r="V19" i="2"/>
  <c r="R20" i="2"/>
  <c r="U20" i="2"/>
  <c r="R21" i="2"/>
  <c r="U21" i="2"/>
  <c r="V21" i="2"/>
  <c r="X3" i="2"/>
  <c r="T4" i="2"/>
  <c r="U4" i="2"/>
  <c r="V4" i="2"/>
  <c r="W4" i="2"/>
  <c r="X4" i="2"/>
  <c r="Y4" i="2"/>
  <c r="U6" i="2"/>
  <c r="S3" i="2"/>
  <c r="R4" i="2"/>
  <c r="S4" i="2"/>
  <c r="R6" i="2"/>
  <c r="T41" i="2"/>
  <c r="M277" i="2"/>
  <c r="M391" i="2"/>
  <c r="M261" i="2"/>
  <c r="M222" i="2"/>
  <c r="M96" i="2"/>
  <c r="M214" i="2"/>
  <c r="M88" i="2"/>
  <c r="M31" i="2"/>
  <c r="M160" i="2"/>
  <c r="M152" i="2"/>
  <c r="M23" i="2"/>
  <c r="M134" i="2"/>
  <c r="M5" i="2"/>
  <c r="F11" i="2"/>
  <c r="C7" i="2"/>
  <c r="D134" i="2"/>
  <c r="F7" i="2"/>
  <c r="T7" i="2" s="1"/>
  <c r="E291" i="2"/>
  <c r="S291" i="2" s="1"/>
  <c r="I290" i="2"/>
  <c r="W290" i="2" s="1"/>
  <c r="H290" i="2"/>
  <c r="V290" i="2" s="1"/>
  <c r="E290" i="2"/>
  <c r="S290" i="2" s="1"/>
  <c r="I289" i="2"/>
  <c r="W289" i="2" s="1"/>
  <c r="E289" i="2"/>
  <c r="S289" i="2" s="1"/>
  <c r="I288" i="2"/>
  <c r="W288" i="2" s="1"/>
  <c r="H288" i="2"/>
  <c r="V288" i="2" s="1"/>
  <c r="E288" i="2"/>
  <c r="S288" i="2" s="1"/>
  <c r="I287" i="2"/>
  <c r="W287" i="2" s="1"/>
  <c r="E287" i="2"/>
  <c r="S287" i="2" s="1"/>
  <c r="I286" i="2"/>
  <c r="W286" i="2" s="1"/>
  <c r="H286" i="2"/>
  <c r="V286" i="2" s="1"/>
  <c r="E286" i="2"/>
  <c r="S286" i="2" s="1"/>
  <c r="I285" i="2"/>
  <c r="W285" i="2" s="1"/>
  <c r="H285" i="2"/>
  <c r="V285" i="2" s="1"/>
  <c r="E285" i="2"/>
  <c r="S285" i="2" s="1"/>
  <c r="I284" i="2"/>
  <c r="W284" i="2" s="1"/>
  <c r="H284" i="2"/>
  <c r="V284" i="2" s="1"/>
  <c r="E284" i="2"/>
  <c r="S284" i="2" s="1"/>
  <c r="I283" i="2"/>
  <c r="W283" i="2" s="1"/>
  <c r="H283" i="2"/>
  <c r="V283" i="2" s="1"/>
  <c r="E283" i="2"/>
  <c r="S283" i="2" s="1"/>
  <c r="I282" i="2"/>
  <c r="W282" i="2" s="1"/>
  <c r="H282" i="2"/>
  <c r="V282" i="2" s="1"/>
  <c r="E282" i="2"/>
  <c r="S282" i="2" s="1"/>
  <c r="I281" i="2"/>
  <c r="W281" i="2" s="1"/>
  <c r="H281" i="2"/>
  <c r="V281" i="2" s="1"/>
  <c r="E281" i="2"/>
  <c r="S281" i="2" s="1"/>
  <c r="I280" i="2"/>
  <c r="W280" i="2" s="1"/>
  <c r="H280" i="2"/>
  <c r="V280" i="2" s="1"/>
  <c r="E280" i="2"/>
  <c r="S280" i="2" s="1"/>
  <c r="I279" i="2"/>
  <c r="W279" i="2" s="1"/>
  <c r="E279" i="2"/>
  <c r="S279" i="2" s="1"/>
  <c r="I278" i="2"/>
  <c r="W278" i="2" s="1"/>
  <c r="H278" i="2"/>
  <c r="V278" i="2" s="1"/>
  <c r="E278" i="2"/>
  <c r="S278" i="2" s="1"/>
  <c r="K277" i="2"/>
  <c r="D277" i="2"/>
  <c r="F277" i="2" s="1"/>
  <c r="I405" i="2"/>
  <c r="W405" i="2" s="1"/>
  <c r="E405" i="2"/>
  <c r="S405" i="2" s="1"/>
  <c r="I404" i="2"/>
  <c r="W404" i="2" s="1"/>
  <c r="H404" i="2"/>
  <c r="V404" i="2" s="1"/>
  <c r="E404" i="2"/>
  <c r="S404" i="2" s="1"/>
  <c r="I403" i="2"/>
  <c r="W403" i="2" s="1"/>
  <c r="E403" i="2"/>
  <c r="S403" i="2" s="1"/>
  <c r="I402" i="2"/>
  <c r="W402" i="2" s="1"/>
  <c r="H402" i="2"/>
  <c r="V402" i="2" s="1"/>
  <c r="E402" i="2"/>
  <c r="S402" i="2" s="1"/>
  <c r="I401" i="2"/>
  <c r="W401" i="2" s="1"/>
  <c r="E401" i="2"/>
  <c r="S401" i="2" s="1"/>
  <c r="I400" i="2"/>
  <c r="W400" i="2" s="1"/>
  <c r="H400" i="2"/>
  <c r="V400" i="2" s="1"/>
  <c r="E400" i="2"/>
  <c r="S400" i="2" s="1"/>
  <c r="I399" i="2"/>
  <c r="W399" i="2" s="1"/>
  <c r="H399" i="2"/>
  <c r="V399" i="2" s="1"/>
  <c r="E399" i="2"/>
  <c r="S399" i="2" s="1"/>
  <c r="I398" i="2"/>
  <c r="W398" i="2" s="1"/>
  <c r="H398" i="2"/>
  <c r="V398" i="2" s="1"/>
  <c r="E398" i="2"/>
  <c r="S398" i="2" s="1"/>
  <c r="I397" i="2"/>
  <c r="W397" i="2" s="1"/>
  <c r="H397" i="2"/>
  <c r="V397" i="2" s="1"/>
  <c r="E397" i="2"/>
  <c r="S397" i="2" s="1"/>
  <c r="I396" i="2"/>
  <c r="W396" i="2" s="1"/>
  <c r="H396" i="2"/>
  <c r="V396" i="2" s="1"/>
  <c r="E396" i="2"/>
  <c r="S396" i="2" s="1"/>
  <c r="I395" i="2"/>
  <c r="W395" i="2" s="1"/>
  <c r="H395" i="2"/>
  <c r="V395" i="2" s="1"/>
  <c r="E395" i="2"/>
  <c r="S395" i="2" s="1"/>
  <c r="I394" i="2"/>
  <c r="W394" i="2" s="1"/>
  <c r="H394" i="2"/>
  <c r="V394" i="2" s="1"/>
  <c r="E394" i="2"/>
  <c r="S394" i="2" s="1"/>
  <c r="I393" i="2"/>
  <c r="W393" i="2" s="1"/>
  <c r="E393" i="2"/>
  <c r="S393" i="2" s="1"/>
  <c r="I392" i="2"/>
  <c r="W392" i="2" s="1"/>
  <c r="H392" i="2"/>
  <c r="V392" i="2" s="1"/>
  <c r="E392" i="2"/>
  <c r="S392" i="2" s="1"/>
  <c r="K391" i="2"/>
  <c r="D391" i="2"/>
  <c r="F391" i="2" s="1"/>
  <c r="T391" i="2" s="1"/>
  <c r="I275" i="2"/>
  <c r="E275" i="2"/>
  <c r="I274" i="2"/>
  <c r="H274" i="2"/>
  <c r="E274" i="2"/>
  <c r="I273" i="2"/>
  <c r="E273" i="2"/>
  <c r="I272" i="2"/>
  <c r="H272" i="2"/>
  <c r="E272" i="2"/>
  <c r="I271" i="2"/>
  <c r="E271" i="2"/>
  <c r="I270" i="2"/>
  <c r="H270" i="2"/>
  <c r="E270" i="2"/>
  <c r="I269" i="2"/>
  <c r="H269" i="2"/>
  <c r="E269" i="2"/>
  <c r="I268" i="2"/>
  <c r="H268" i="2"/>
  <c r="E268" i="2"/>
  <c r="I267" i="2"/>
  <c r="H267" i="2"/>
  <c r="E267" i="2"/>
  <c r="I266" i="2"/>
  <c r="H266" i="2"/>
  <c r="E266" i="2"/>
  <c r="I265" i="2"/>
  <c r="H265" i="2"/>
  <c r="E265" i="2"/>
  <c r="I264" i="2"/>
  <c r="H264" i="2"/>
  <c r="E264" i="2"/>
  <c r="I263" i="2"/>
  <c r="E263" i="2"/>
  <c r="I262" i="2"/>
  <c r="H262" i="2"/>
  <c r="E262" i="2"/>
  <c r="K261" i="2"/>
  <c r="K266" i="2" s="1"/>
  <c r="D261" i="2"/>
  <c r="F261" i="2" s="1"/>
  <c r="F265" i="2" s="1"/>
  <c r="I238" i="2"/>
  <c r="I485" i="2" s="1"/>
  <c r="E238" i="2"/>
  <c r="S256" i="2" s="1"/>
  <c r="I237" i="2"/>
  <c r="I484" i="2" s="1"/>
  <c r="E237" i="2"/>
  <c r="S255" i="2" s="1"/>
  <c r="I236" i="2"/>
  <c r="I483" i="2" s="1"/>
  <c r="H236" i="2"/>
  <c r="H483" i="2" s="1"/>
  <c r="E236" i="2"/>
  <c r="S254" i="2" s="1"/>
  <c r="I235" i="2"/>
  <c r="I482" i="2" s="1"/>
  <c r="E235" i="2"/>
  <c r="S253" i="2" s="1"/>
  <c r="I234" i="2"/>
  <c r="I481" i="2" s="1"/>
  <c r="H234" i="2"/>
  <c r="H481" i="2" s="1"/>
  <c r="E234" i="2"/>
  <c r="S252" i="2" s="1"/>
  <c r="I233" i="2"/>
  <c r="I480" i="2" s="1"/>
  <c r="E233" i="2"/>
  <c r="S251" i="2" s="1"/>
  <c r="I232" i="2"/>
  <c r="I479" i="2" s="1"/>
  <c r="H232" i="2"/>
  <c r="H479" i="2" s="1"/>
  <c r="E232" i="2"/>
  <c r="S250" i="2" s="1"/>
  <c r="I231" i="2"/>
  <c r="I478" i="2" s="1"/>
  <c r="H231" i="2"/>
  <c r="H478" i="2" s="1"/>
  <c r="E231" i="2"/>
  <c r="S249" i="2" s="1"/>
  <c r="I230" i="2"/>
  <c r="I477" i="2" s="1"/>
  <c r="H230" i="2"/>
  <c r="H477" i="2" s="1"/>
  <c r="E230" i="2"/>
  <c r="S248" i="2" s="1"/>
  <c r="I229" i="2"/>
  <c r="I476" i="2" s="1"/>
  <c r="H229" i="2"/>
  <c r="H476" i="2" s="1"/>
  <c r="E229" i="2"/>
  <c r="S247" i="2" s="1"/>
  <c r="I228" i="2"/>
  <c r="I475" i="2" s="1"/>
  <c r="H228" i="2"/>
  <c r="H475" i="2" s="1"/>
  <c r="E228" i="2"/>
  <c r="S246" i="2" s="1"/>
  <c r="I227" i="2"/>
  <c r="I474" i="2" s="1"/>
  <c r="H227" i="2"/>
  <c r="H474" i="2" s="1"/>
  <c r="E227" i="2"/>
  <c r="S245" i="2" s="1"/>
  <c r="I226" i="2"/>
  <c r="I473" i="2" s="1"/>
  <c r="H226" i="2"/>
  <c r="H473" i="2" s="1"/>
  <c r="E226" i="2"/>
  <c r="S244" i="2" s="1"/>
  <c r="I225" i="2"/>
  <c r="I472" i="2" s="1"/>
  <c r="H225" i="2"/>
  <c r="H472" i="2" s="1"/>
  <c r="E225" i="2"/>
  <c r="S243" i="2" s="1"/>
  <c r="I224" i="2"/>
  <c r="I471" i="2" s="1"/>
  <c r="E224" i="2"/>
  <c r="S242" i="2" s="1"/>
  <c r="I223" i="2"/>
  <c r="I470" i="2" s="1"/>
  <c r="H223" i="2"/>
  <c r="H470" i="2" s="1"/>
  <c r="E223" i="2"/>
  <c r="S241" i="2" s="1"/>
  <c r="K222" i="2"/>
  <c r="Y240" i="2" s="1"/>
  <c r="D222" i="2"/>
  <c r="I112" i="2"/>
  <c r="E112" i="2"/>
  <c r="I111" i="2"/>
  <c r="E111" i="2"/>
  <c r="I110" i="2"/>
  <c r="H110" i="2"/>
  <c r="E110" i="2"/>
  <c r="I109" i="2"/>
  <c r="E109" i="2"/>
  <c r="I108" i="2"/>
  <c r="H108" i="2"/>
  <c r="E108" i="2"/>
  <c r="I107" i="2"/>
  <c r="E107" i="2"/>
  <c r="I106" i="2"/>
  <c r="H106" i="2"/>
  <c r="E106" i="2"/>
  <c r="I105" i="2"/>
  <c r="H105" i="2"/>
  <c r="E105" i="2"/>
  <c r="I104" i="2"/>
  <c r="H104" i="2"/>
  <c r="E104" i="2"/>
  <c r="I103" i="2"/>
  <c r="H103" i="2"/>
  <c r="E103" i="2"/>
  <c r="I102" i="2"/>
  <c r="H102" i="2"/>
  <c r="E102" i="2"/>
  <c r="I101" i="2"/>
  <c r="H101" i="2"/>
  <c r="E101" i="2"/>
  <c r="I100" i="2"/>
  <c r="H100" i="2"/>
  <c r="E100" i="2"/>
  <c r="I99" i="2"/>
  <c r="H99" i="2"/>
  <c r="E99" i="2"/>
  <c r="I98" i="2"/>
  <c r="E98" i="2"/>
  <c r="I97" i="2"/>
  <c r="H97" i="2"/>
  <c r="E97" i="2"/>
  <c r="K96" i="2"/>
  <c r="K355" i="2" s="1"/>
  <c r="D96" i="2"/>
  <c r="I216" i="2"/>
  <c r="I467" i="2" s="1"/>
  <c r="W467" i="2" s="1"/>
  <c r="H216" i="2"/>
  <c r="H467" i="2" s="1"/>
  <c r="V467" i="2" s="1"/>
  <c r="E216" i="2"/>
  <c r="E467" i="2" s="1"/>
  <c r="S467" i="2" s="1"/>
  <c r="I215" i="2"/>
  <c r="I466" i="2" s="1"/>
  <c r="W466" i="2" s="1"/>
  <c r="H215" i="2"/>
  <c r="H466" i="2" s="1"/>
  <c r="V466" i="2" s="1"/>
  <c r="E215" i="2"/>
  <c r="E466" i="2" s="1"/>
  <c r="S466" i="2" s="1"/>
  <c r="K214" i="2"/>
  <c r="K465" i="2" s="1"/>
  <c r="Y465" i="2" s="1"/>
  <c r="D214" i="2"/>
  <c r="I90" i="2"/>
  <c r="I353" i="2" s="1"/>
  <c r="W353" i="2" s="1"/>
  <c r="H90" i="2"/>
  <c r="H353" i="2" s="1"/>
  <c r="V353" i="2" s="1"/>
  <c r="E90" i="2"/>
  <c r="E353" i="2" s="1"/>
  <c r="S353" i="2" s="1"/>
  <c r="I89" i="2"/>
  <c r="I352" i="2" s="1"/>
  <c r="W352" i="2" s="1"/>
  <c r="H89" i="2"/>
  <c r="H352" i="2" s="1"/>
  <c r="V352" i="2" s="1"/>
  <c r="E89" i="2"/>
  <c r="E352" i="2" s="1"/>
  <c r="S352" i="2" s="1"/>
  <c r="K88" i="2"/>
  <c r="K351" i="2" s="1"/>
  <c r="Y351" i="2" s="1"/>
  <c r="D88" i="2"/>
  <c r="I176" i="2"/>
  <c r="I427" i="2" s="1"/>
  <c r="E176" i="2"/>
  <c r="E427" i="2" s="1"/>
  <c r="I175" i="2"/>
  <c r="I426" i="2" s="1"/>
  <c r="E175" i="2"/>
  <c r="E426" i="2" s="1"/>
  <c r="I174" i="2"/>
  <c r="I425" i="2" s="1"/>
  <c r="H174" i="2"/>
  <c r="H425" i="2" s="1"/>
  <c r="E174" i="2"/>
  <c r="E425" i="2" s="1"/>
  <c r="I173" i="2"/>
  <c r="I424" i="2" s="1"/>
  <c r="E173" i="2"/>
  <c r="E424" i="2" s="1"/>
  <c r="I172" i="2"/>
  <c r="I423" i="2" s="1"/>
  <c r="H172" i="2"/>
  <c r="H423" i="2" s="1"/>
  <c r="E172" i="2"/>
  <c r="E423" i="2" s="1"/>
  <c r="I171" i="2"/>
  <c r="I422" i="2" s="1"/>
  <c r="E171" i="2"/>
  <c r="E422" i="2" s="1"/>
  <c r="I170" i="2"/>
  <c r="I421" i="2" s="1"/>
  <c r="H170" i="2"/>
  <c r="H421" i="2" s="1"/>
  <c r="E170" i="2"/>
  <c r="E421" i="2" s="1"/>
  <c r="I169" i="2"/>
  <c r="I420" i="2" s="1"/>
  <c r="H169" i="2"/>
  <c r="H420" i="2" s="1"/>
  <c r="E169" i="2"/>
  <c r="E420" i="2" s="1"/>
  <c r="I168" i="2"/>
  <c r="I419" i="2" s="1"/>
  <c r="H168" i="2"/>
  <c r="H419" i="2" s="1"/>
  <c r="E168" i="2"/>
  <c r="E419" i="2" s="1"/>
  <c r="I167" i="2"/>
  <c r="I418" i="2" s="1"/>
  <c r="H167" i="2"/>
  <c r="H418" i="2" s="1"/>
  <c r="E167" i="2"/>
  <c r="E418" i="2" s="1"/>
  <c r="I166" i="2"/>
  <c r="I417" i="2" s="1"/>
  <c r="H166" i="2"/>
  <c r="H417" i="2" s="1"/>
  <c r="E166" i="2"/>
  <c r="E417" i="2" s="1"/>
  <c r="I165" i="2"/>
  <c r="I416" i="2" s="1"/>
  <c r="H165" i="2"/>
  <c r="H416" i="2" s="1"/>
  <c r="E165" i="2"/>
  <c r="E416" i="2" s="1"/>
  <c r="I164" i="2"/>
  <c r="I415" i="2" s="1"/>
  <c r="H164" i="2"/>
  <c r="H415" i="2" s="1"/>
  <c r="E164" i="2"/>
  <c r="E415" i="2" s="1"/>
  <c r="I163" i="2"/>
  <c r="I414" i="2" s="1"/>
  <c r="H163" i="2"/>
  <c r="H414" i="2" s="1"/>
  <c r="E163" i="2"/>
  <c r="E414" i="2" s="1"/>
  <c r="I162" i="2"/>
  <c r="I413" i="2" s="1"/>
  <c r="E162" i="2"/>
  <c r="E413" i="2" s="1"/>
  <c r="I161" i="2"/>
  <c r="I412" i="2" s="1"/>
  <c r="H161" i="2"/>
  <c r="H412" i="2" s="1"/>
  <c r="E161" i="2"/>
  <c r="E412" i="2" s="1"/>
  <c r="K160" i="2"/>
  <c r="K411" i="2" s="1"/>
  <c r="D160" i="2"/>
  <c r="D411" i="2" s="1"/>
  <c r="I47" i="2"/>
  <c r="E47" i="2"/>
  <c r="I46" i="2"/>
  <c r="E46" i="2"/>
  <c r="I45" i="2"/>
  <c r="H45" i="2"/>
  <c r="E45" i="2"/>
  <c r="I44" i="2"/>
  <c r="E44" i="2"/>
  <c r="I43" i="2"/>
  <c r="H43" i="2"/>
  <c r="E43" i="2"/>
  <c r="I42" i="2"/>
  <c r="E42" i="2"/>
  <c r="I41" i="2"/>
  <c r="H41" i="2"/>
  <c r="E41" i="2"/>
  <c r="I40" i="2"/>
  <c r="H40" i="2"/>
  <c r="E40" i="2"/>
  <c r="I39" i="2"/>
  <c r="H39" i="2"/>
  <c r="E39" i="2"/>
  <c r="I38" i="2"/>
  <c r="H38" i="2"/>
  <c r="E38" i="2"/>
  <c r="I37" i="2"/>
  <c r="H37" i="2"/>
  <c r="E37" i="2"/>
  <c r="I36" i="2"/>
  <c r="H36" i="2"/>
  <c r="E36" i="2"/>
  <c r="I35" i="2"/>
  <c r="H35" i="2"/>
  <c r="E35" i="2"/>
  <c r="I34" i="2"/>
  <c r="H34" i="2"/>
  <c r="E34" i="2"/>
  <c r="I33" i="2"/>
  <c r="E33" i="2"/>
  <c r="I32" i="2"/>
  <c r="H32" i="2"/>
  <c r="E32" i="2"/>
  <c r="K31" i="2"/>
  <c r="K297" i="2" s="1"/>
  <c r="Y333" i="2" s="1"/>
  <c r="D31" i="2"/>
  <c r="I154" i="2"/>
  <c r="H154" i="2"/>
  <c r="E154" i="2"/>
  <c r="I153" i="2"/>
  <c r="H153" i="2"/>
  <c r="E153" i="2"/>
  <c r="K152" i="2"/>
  <c r="I152" i="2"/>
  <c r="I407" i="2" s="1"/>
  <c r="D152" i="2"/>
  <c r="I151" i="2"/>
  <c r="I25" i="2"/>
  <c r="W25" i="2" s="1"/>
  <c r="H25" i="2"/>
  <c r="V25" i="2" s="1"/>
  <c r="E25" i="2"/>
  <c r="S25" i="2" s="1"/>
  <c r="I24" i="2"/>
  <c r="H24" i="2"/>
  <c r="E24" i="2"/>
  <c r="S24" i="2" s="1"/>
  <c r="K23" i="2"/>
  <c r="Y23" i="2" s="1"/>
  <c r="D23" i="2"/>
  <c r="I150" i="2"/>
  <c r="W150" i="2" s="1"/>
  <c r="E150" i="2"/>
  <c r="S150" i="2" s="1"/>
  <c r="I149" i="2"/>
  <c r="W149" i="2" s="1"/>
  <c r="H149" i="2"/>
  <c r="V149" i="2" s="1"/>
  <c r="E149" i="2"/>
  <c r="S149" i="2" s="1"/>
  <c r="I148" i="2"/>
  <c r="W148" i="2" s="1"/>
  <c r="E148" i="2"/>
  <c r="S148" i="2" s="1"/>
  <c r="I147" i="2"/>
  <c r="W147" i="2" s="1"/>
  <c r="H147" i="2"/>
  <c r="V147" i="2" s="1"/>
  <c r="E147" i="2"/>
  <c r="S147" i="2" s="1"/>
  <c r="I146" i="2"/>
  <c r="W146" i="2" s="1"/>
  <c r="E146" i="2"/>
  <c r="S146" i="2" s="1"/>
  <c r="I145" i="2"/>
  <c r="W145" i="2" s="1"/>
  <c r="H145" i="2"/>
  <c r="V145" i="2" s="1"/>
  <c r="E145" i="2"/>
  <c r="S145" i="2" s="1"/>
  <c r="I144" i="2"/>
  <c r="W144" i="2" s="1"/>
  <c r="E144" i="2"/>
  <c r="S144" i="2" s="1"/>
  <c r="I143" i="2"/>
  <c r="W143" i="2" s="1"/>
  <c r="H143" i="2"/>
  <c r="V143" i="2" s="1"/>
  <c r="E143" i="2"/>
  <c r="S143" i="2" s="1"/>
  <c r="I142" i="2"/>
  <c r="W142" i="2" s="1"/>
  <c r="H142" i="2"/>
  <c r="V142" i="2" s="1"/>
  <c r="E142" i="2"/>
  <c r="S142" i="2" s="1"/>
  <c r="I141" i="2"/>
  <c r="W141" i="2" s="1"/>
  <c r="H141" i="2"/>
  <c r="V141" i="2" s="1"/>
  <c r="E141" i="2"/>
  <c r="S141" i="2" s="1"/>
  <c r="I140" i="2"/>
  <c r="W140" i="2" s="1"/>
  <c r="H140" i="2"/>
  <c r="V140" i="2" s="1"/>
  <c r="E140" i="2"/>
  <c r="S140" i="2" s="1"/>
  <c r="I139" i="2"/>
  <c r="W139" i="2" s="1"/>
  <c r="H139" i="2"/>
  <c r="V139" i="2" s="1"/>
  <c r="E139" i="2"/>
  <c r="S139" i="2" s="1"/>
  <c r="I138" i="2"/>
  <c r="W138" i="2" s="1"/>
  <c r="H138" i="2"/>
  <c r="V138" i="2" s="1"/>
  <c r="E138" i="2"/>
  <c r="S138" i="2" s="1"/>
  <c r="I137" i="2"/>
  <c r="W137" i="2" s="1"/>
  <c r="H137" i="2"/>
  <c r="V137" i="2" s="1"/>
  <c r="E137" i="2"/>
  <c r="S137" i="2" s="1"/>
  <c r="I136" i="2"/>
  <c r="W136" i="2" s="1"/>
  <c r="E136" i="2"/>
  <c r="S136" i="2" s="1"/>
  <c r="I135" i="2"/>
  <c r="W135" i="2" s="1"/>
  <c r="H135" i="2"/>
  <c r="V135" i="2" s="1"/>
  <c r="E135" i="2"/>
  <c r="S135" i="2" s="1"/>
  <c r="K134" i="2"/>
  <c r="Y134" i="2" s="1"/>
  <c r="I21" i="2"/>
  <c r="W21" i="2" s="1"/>
  <c r="E21" i="2"/>
  <c r="S21" i="2" s="1"/>
  <c r="I20" i="2"/>
  <c r="W20" i="2" s="1"/>
  <c r="H20" i="2"/>
  <c r="V20" i="2" s="1"/>
  <c r="E20" i="2"/>
  <c r="S20" i="2" s="1"/>
  <c r="I19" i="2"/>
  <c r="W19" i="2" s="1"/>
  <c r="E19" i="2"/>
  <c r="S19" i="2" s="1"/>
  <c r="I18" i="2"/>
  <c r="W18" i="2" s="1"/>
  <c r="H18" i="2"/>
  <c r="V18" i="2" s="1"/>
  <c r="E18" i="2"/>
  <c r="S18" i="2" s="1"/>
  <c r="I17" i="2"/>
  <c r="W17" i="2" s="1"/>
  <c r="E17" i="2"/>
  <c r="S17" i="2" s="1"/>
  <c r="I16" i="2"/>
  <c r="W16" i="2" s="1"/>
  <c r="H16" i="2"/>
  <c r="V16" i="2" s="1"/>
  <c r="E16" i="2"/>
  <c r="S16" i="2" s="1"/>
  <c r="I15" i="2"/>
  <c r="W15" i="2" s="1"/>
  <c r="E15" i="2"/>
  <c r="S15" i="2" s="1"/>
  <c r="I14" i="2"/>
  <c r="W14" i="2" s="1"/>
  <c r="H14" i="2"/>
  <c r="V14" i="2" s="1"/>
  <c r="E14" i="2"/>
  <c r="S14" i="2" s="1"/>
  <c r="I13" i="2"/>
  <c r="W13" i="2" s="1"/>
  <c r="H13" i="2"/>
  <c r="V13" i="2" s="1"/>
  <c r="E13" i="2"/>
  <c r="S13" i="2" s="1"/>
  <c r="I12" i="2"/>
  <c r="W12" i="2" s="1"/>
  <c r="H12" i="2"/>
  <c r="V12" i="2" s="1"/>
  <c r="E12" i="2"/>
  <c r="S12" i="2" s="1"/>
  <c r="I11" i="2"/>
  <c r="H11" i="2"/>
  <c r="E11" i="2"/>
  <c r="I10" i="2"/>
  <c r="W10" i="2" s="1"/>
  <c r="H10" i="2"/>
  <c r="V10" i="2" s="1"/>
  <c r="E10" i="2"/>
  <c r="S10" i="2" s="1"/>
  <c r="I9" i="2"/>
  <c r="W9" i="2" s="1"/>
  <c r="H9" i="2"/>
  <c r="V9" i="2" s="1"/>
  <c r="E9" i="2"/>
  <c r="S9" i="2" s="1"/>
  <c r="I8" i="2"/>
  <c r="W8" i="2" s="1"/>
  <c r="H8" i="2"/>
  <c r="V8" i="2" s="1"/>
  <c r="E8" i="2"/>
  <c r="S8" i="2" s="1"/>
  <c r="I7" i="2"/>
  <c r="W7" i="2" s="1"/>
  <c r="E7" i="2"/>
  <c r="S7" i="2" s="1"/>
  <c r="I6" i="2"/>
  <c r="W6" i="2" s="1"/>
  <c r="H6" i="2"/>
  <c r="V6" i="2" s="1"/>
  <c r="E6" i="2"/>
  <c r="S6" i="2" s="1"/>
  <c r="K5" i="2"/>
  <c r="Y5" i="2" s="1"/>
  <c r="AB46" i="3" s="1"/>
  <c r="H294" i="2" l="1"/>
  <c r="V294" i="2" s="1"/>
  <c r="V24" i="2"/>
  <c r="K407" i="2"/>
  <c r="Y407" i="2" s="1"/>
  <c r="Y152" i="2"/>
  <c r="AN46" i="3"/>
  <c r="I294" i="2"/>
  <c r="W294" i="2" s="1"/>
  <c r="W24" i="2"/>
  <c r="E408" i="2"/>
  <c r="S408" i="2" s="1"/>
  <c r="S153" i="2"/>
  <c r="E409" i="2"/>
  <c r="S409" i="2" s="1"/>
  <c r="S154" i="2"/>
  <c r="H409" i="2"/>
  <c r="V409" i="2" s="1"/>
  <c r="V154" i="2"/>
  <c r="H408" i="2"/>
  <c r="V408" i="2" s="1"/>
  <c r="V153" i="2"/>
  <c r="I408" i="2"/>
  <c r="W408" i="2" s="1"/>
  <c r="W153" i="2"/>
  <c r="I409" i="2"/>
  <c r="W409" i="2" s="1"/>
  <c r="W154" i="2"/>
  <c r="W474" i="2"/>
  <c r="W492" i="2"/>
  <c r="V495" i="2"/>
  <c r="V477" i="2"/>
  <c r="V501" i="2"/>
  <c r="V483" i="2"/>
  <c r="W471" i="2"/>
  <c r="W489" i="2"/>
  <c r="V490" i="2"/>
  <c r="V472" i="2"/>
  <c r="W477" i="2"/>
  <c r="W495" i="2"/>
  <c r="W498" i="2"/>
  <c r="W480" i="2"/>
  <c r="W501" i="2"/>
  <c r="W483" i="2"/>
  <c r="W497" i="2"/>
  <c r="W479" i="2"/>
  <c r="W472" i="2"/>
  <c r="W490" i="2"/>
  <c r="V475" i="2"/>
  <c r="V493" i="2"/>
  <c r="W493" i="2"/>
  <c r="W475" i="2"/>
  <c r="V496" i="2"/>
  <c r="V478" i="2"/>
  <c r="V499" i="2"/>
  <c r="V481" i="2"/>
  <c r="W502" i="2"/>
  <c r="W484" i="2"/>
  <c r="V488" i="2"/>
  <c r="V470" i="2"/>
  <c r="V473" i="2"/>
  <c r="V491" i="2"/>
  <c r="W496" i="2"/>
  <c r="W478" i="2"/>
  <c r="W499" i="2"/>
  <c r="W481" i="2"/>
  <c r="W470" i="2"/>
  <c r="W488" i="2"/>
  <c r="W473" i="2"/>
  <c r="W491" i="2"/>
  <c r="V494" i="2"/>
  <c r="V476" i="2"/>
  <c r="W503" i="2"/>
  <c r="W485" i="2"/>
  <c r="V474" i="2"/>
  <c r="V492" i="2"/>
  <c r="W494" i="2"/>
  <c r="W476" i="2"/>
  <c r="V497" i="2"/>
  <c r="V479" i="2"/>
  <c r="W500" i="2"/>
  <c r="W482" i="2"/>
  <c r="W419" i="2"/>
  <c r="W455" i="2"/>
  <c r="W437" i="2"/>
  <c r="Y411" i="2"/>
  <c r="Y429" i="2"/>
  <c r="Y447" i="2"/>
  <c r="W414" i="2"/>
  <c r="W432" i="2"/>
  <c r="W450" i="2"/>
  <c r="V417" i="2"/>
  <c r="V435" i="2"/>
  <c r="V453" i="2"/>
  <c r="S420" i="2"/>
  <c r="S456" i="2"/>
  <c r="S438" i="2"/>
  <c r="S423" i="2"/>
  <c r="S459" i="2"/>
  <c r="S441" i="2"/>
  <c r="S426" i="2"/>
  <c r="S462" i="2"/>
  <c r="S444" i="2"/>
  <c r="V414" i="2"/>
  <c r="V432" i="2"/>
  <c r="V450" i="2"/>
  <c r="S412" i="2"/>
  <c r="S448" i="2"/>
  <c r="S430" i="2"/>
  <c r="W426" i="2"/>
  <c r="W444" i="2"/>
  <c r="W462" i="2"/>
  <c r="V412" i="2"/>
  <c r="V448" i="2"/>
  <c r="V430" i="2"/>
  <c r="V415" i="2"/>
  <c r="V433" i="2"/>
  <c r="V451" i="2"/>
  <c r="S418" i="2"/>
  <c r="S454" i="2"/>
  <c r="S436" i="2"/>
  <c r="W420" i="2"/>
  <c r="W456" i="2"/>
  <c r="W438" i="2"/>
  <c r="W423" i="2"/>
  <c r="W459" i="2"/>
  <c r="W441" i="2"/>
  <c r="S427" i="2"/>
  <c r="S463" i="2"/>
  <c r="S445" i="2"/>
  <c r="W425" i="2"/>
  <c r="W443" i="2"/>
  <c r="W461" i="2"/>
  <c r="V423" i="2"/>
  <c r="V459" i="2"/>
  <c r="V441" i="2"/>
  <c r="V418" i="2"/>
  <c r="V436" i="2"/>
  <c r="V454" i="2"/>
  <c r="W427" i="2"/>
  <c r="W445" i="2"/>
  <c r="W463" i="2"/>
  <c r="W422" i="2"/>
  <c r="W458" i="2"/>
  <c r="W440" i="2"/>
  <c r="V420" i="2"/>
  <c r="V438" i="2"/>
  <c r="V456" i="2"/>
  <c r="W415" i="2"/>
  <c r="W433" i="2"/>
  <c r="W451" i="2"/>
  <c r="S413" i="2"/>
  <c r="S449" i="2"/>
  <c r="S431" i="2"/>
  <c r="S416" i="2"/>
  <c r="S452" i="2"/>
  <c r="S434" i="2"/>
  <c r="W418" i="2"/>
  <c r="W454" i="2"/>
  <c r="W436" i="2"/>
  <c r="V421" i="2"/>
  <c r="V457" i="2"/>
  <c r="V439" i="2"/>
  <c r="W424" i="2"/>
  <c r="W442" i="2"/>
  <c r="W460" i="2"/>
  <c r="S415" i="2"/>
  <c r="S451" i="2"/>
  <c r="S433" i="2"/>
  <c r="W412" i="2"/>
  <c r="W448" i="2"/>
  <c r="W430" i="2"/>
  <c r="S421" i="2"/>
  <c r="S457" i="2"/>
  <c r="S439" i="2"/>
  <c r="S424" i="2"/>
  <c r="S460" i="2"/>
  <c r="S442" i="2"/>
  <c r="W413" i="2"/>
  <c r="W431" i="2"/>
  <c r="W449" i="2"/>
  <c r="V416" i="2"/>
  <c r="V434" i="2"/>
  <c r="V452" i="2"/>
  <c r="S419" i="2"/>
  <c r="S455" i="2"/>
  <c r="S437" i="2"/>
  <c r="W421" i="2"/>
  <c r="W457" i="2"/>
  <c r="W439" i="2"/>
  <c r="S425" i="2"/>
  <c r="S443" i="2"/>
  <c r="S461" i="2"/>
  <c r="S417" i="2"/>
  <c r="S453" i="2"/>
  <c r="S435" i="2"/>
  <c r="W417" i="2"/>
  <c r="W453" i="2"/>
  <c r="W435" i="2"/>
  <c r="S414" i="2"/>
  <c r="S450" i="2"/>
  <c r="S432" i="2"/>
  <c r="W416" i="2"/>
  <c r="W452" i="2"/>
  <c r="W434" i="2"/>
  <c r="V419" i="2"/>
  <c r="V455" i="2"/>
  <c r="V437" i="2"/>
  <c r="S422" i="2"/>
  <c r="S458" i="2"/>
  <c r="S440" i="2"/>
  <c r="V425" i="2"/>
  <c r="V443" i="2"/>
  <c r="V461" i="2"/>
  <c r="K404" i="2"/>
  <c r="Y404" i="2" s="1"/>
  <c r="Y391" i="2"/>
  <c r="Y355" i="2"/>
  <c r="Y373" i="2"/>
  <c r="Y297" i="2"/>
  <c r="Y315" i="2"/>
  <c r="S225" i="2"/>
  <c r="E472" i="2"/>
  <c r="S233" i="2"/>
  <c r="E480" i="2"/>
  <c r="S33" i="2"/>
  <c r="E299" i="2"/>
  <c r="S335" i="2" s="1"/>
  <c r="V41" i="2"/>
  <c r="H307" i="2"/>
  <c r="V343" i="2" s="1"/>
  <c r="V36" i="2"/>
  <c r="H302" i="2"/>
  <c r="V338" i="2" s="1"/>
  <c r="F152" i="2"/>
  <c r="T152" i="2" s="1"/>
  <c r="D407" i="2"/>
  <c r="V39" i="2"/>
  <c r="H305" i="2"/>
  <c r="V341" i="2" s="1"/>
  <c r="V45" i="2"/>
  <c r="H311" i="2"/>
  <c r="V347" i="2" s="1"/>
  <c r="F31" i="2"/>
  <c r="F42" i="2" s="1"/>
  <c r="D297" i="2"/>
  <c r="V34" i="2"/>
  <c r="H300" i="2"/>
  <c r="V336" i="2" s="1"/>
  <c r="S56" i="2"/>
  <c r="E303" i="2"/>
  <c r="S339" i="2" s="1"/>
  <c r="W39" i="2"/>
  <c r="I305" i="2"/>
  <c r="W341" i="2" s="1"/>
  <c r="W42" i="2"/>
  <c r="I308" i="2"/>
  <c r="W344" i="2" s="1"/>
  <c r="W45" i="2"/>
  <c r="I311" i="2"/>
  <c r="W347" i="2" s="1"/>
  <c r="Y222" i="2"/>
  <c r="K469" i="2"/>
  <c r="S231" i="2"/>
  <c r="E478" i="2"/>
  <c r="S234" i="2"/>
  <c r="E481" i="2"/>
  <c r="S237" i="2"/>
  <c r="E484" i="2"/>
  <c r="W44" i="2"/>
  <c r="I310" i="2"/>
  <c r="W346" i="2" s="1"/>
  <c r="K291" i="2"/>
  <c r="Y291" i="2" s="1"/>
  <c r="Y277" i="2"/>
  <c r="W41" i="2"/>
  <c r="I307" i="2"/>
  <c r="W343" i="2" s="1"/>
  <c r="S61" i="2"/>
  <c r="E308" i="2"/>
  <c r="S344" i="2" s="1"/>
  <c r="F222" i="2"/>
  <c r="D469" i="2"/>
  <c r="V37" i="2"/>
  <c r="H303" i="2"/>
  <c r="V339" i="2" s="1"/>
  <c r="S62" i="2"/>
  <c r="E309" i="2"/>
  <c r="S345" i="2" s="1"/>
  <c r="S223" i="2"/>
  <c r="E470" i="2"/>
  <c r="S226" i="2"/>
  <c r="E473" i="2"/>
  <c r="S58" i="2"/>
  <c r="E305" i="2"/>
  <c r="S341" i="2" s="1"/>
  <c r="W36" i="2"/>
  <c r="I302" i="2"/>
  <c r="W338" i="2" s="1"/>
  <c r="S228" i="2"/>
  <c r="E475" i="2"/>
  <c r="V40" i="2"/>
  <c r="H306" i="2"/>
  <c r="V342" i="2" s="1"/>
  <c r="V43" i="2"/>
  <c r="H309" i="2"/>
  <c r="V345" i="2" s="1"/>
  <c r="W46" i="2"/>
  <c r="I312" i="2"/>
  <c r="W348" i="2" s="1"/>
  <c r="F214" i="2"/>
  <c r="F465" i="2" s="1"/>
  <c r="T465" i="2" s="1"/>
  <c r="D465" i="2"/>
  <c r="S229" i="2"/>
  <c r="E476" i="2"/>
  <c r="S238" i="2"/>
  <c r="E485" i="2"/>
  <c r="S36" i="2"/>
  <c r="E302" i="2"/>
  <c r="S338" i="2" s="1"/>
  <c r="S230" i="2"/>
  <c r="E477" i="2"/>
  <c r="W33" i="2"/>
  <c r="I299" i="2"/>
  <c r="W335" i="2" s="1"/>
  <c r="S64" i="2"/>
  <c r="E311" i="2"/>
  <c r="S347" i="2" s="1"/>
  <c r="W34" i="2"/>
  <c r="I300" i="2"/>
  <c r="W336" i="2" s="1"/>
  <c r="S59" i="2"/>
  <c r="E306" i="2"/>
  <c r="S342" i="2" s="1"/>
  <c r="S65" i="2"/>
  <c r="E312" i="2"/>
  <c r="S348" i="2" s="1"/>
  <c r="S51" i="2"/>
  <c r="E298" i="2"/>
  <c r="S334" i="2" s="1"/>
  <c r="W37" i="2"/>
  <c r="I303" i="2"/>
  <c r="W339" i="2" s="1"/>
  <c r="V32" i="2"/>
  <c r="H298" i="2"/>
  <c r="V334" i="2" s="1"/>
  <c r="V35" i="2"/>
  <c r="H301" i="2"/>
  <c r="V337" i="2" s="1"/>
  <c r="S57" i="2"/>
  <c r="E304" i="2"/>
  <c r="S340" i="2" s="1"/>
  <c r="W40" i="2"/>
  <c r="I306" i="2"/>
  <c r="W342" i="2" s="1"/>
  <c r="W43" i="2"/>
  <c r="I309" i="2"/>
  <c r="W345" i="2" s="1"/>
  <c r="S66" i="2"/>
  <c r="E313" i="2"/>
  <c r="S349" i="2" s="1"/>
  <c r="S232" i="2"/>
  <c r="E479" i="2"/>
  <c r="S235" i="2"/>
  <c r="E482" i="2"/>
  <c r="W38" i="2"/>
  <c r="I304" i="2"/>
  <c r="W340" i="2" s="1"/>
  <c r="S236" i="2"/>
  <c r="E483" i="2"/>
  <c r="S53" i="2"/>
  <c r="E300" i="2"/>
  <c r="S336" i="2" s="1"/>
  <c r="S54" i="2"/>
  <c r="E301" i="2"/>
  <c r="S337" i="2" s="1"/>
  <c r="W32" i="2"/>
  <c r="I298" i="2"/>
  <c r="W334" i="2" s="1"/>
  <c r="W35" i="2"/>
  <c r="I301" i="2"/>
  <c r="W337" i="2" s="1"/>
  <c r="V38" i="2"/>
  <c r="H304" i="2"/>
  <c r="V340" i="2" s="1"/>
  <c r="S60" i="2"/>
  <c r="E307" i="2"/>
  <c r="S343" i="2" s="1"/>
  <c r="S82" i="2"/>
  <c r="E310" i="2"/>
  <c r="S346" i="2" s="1"/>
  <c r="W47" i="2"/>
  <c r="I313" i="2"/>
  <c r="W349" i="2" s="1"/>
  <c r="S224" i="2"/>
  <c r="E471" i="2"/>
  <c r="S227" i="2"/>
  <c r="E474" i="2"/>
  <c r="F278" i="2"/>
  <c r="T278" i="2" s="1"/>
  <c r="T277" i="2"/>
  <c r="W105" i="2"/>
  <c r="I364" i="2"/>
  <c r="F23" i="2"/>
  <c r="D293" i="2"/>
  <c r="W215" i="2"/>
  <c r="W219" i="2"/>
  <c r="W97" i="2"/>
  <c r="I356" i="2"/>
  <c r="W119" i="2"/>
  <c r="I359" i="2"/>
  <c r="V122" i="2"/>
  <c r="H362" i="2"/>
  <c r="S106" i="2"/>
  <c r="E365" i="2"/>
  <c r="S109" i="2"/>
  <c r="E368" i="2"/>
  <c r="W112" i="2"/>
  <c r="I371" i="2"/>
  <c r="V215" i="2"/>
  <c r="V219" i="2"/>
  <c r="W108" i="2"/>
  <c r="I367" i="2"/>
  <c r="S131" i="2"/>
  <c r="E371" i="2"/>
  <c r="Y27" i="2"/>
  <c r="K293" i="2"/>
  <c r="Y293" i="2" s="1"/>
  <c r="S216" i="2"/>
  <c r="S220" i="2"/>
  <c r="S98" i="2"/>
  <c r="E357" i="2"/>
  <c r="S101" i="2"/>
  <c r="E360" i="2"/>
  <c r="W103" i="2"/>
  <c r="I362" i="2"/>
  <c r="V125" i="2"/>
  <c r="H365" i="2"/>
  <c r="W128" i="2"/>
  <c r="I368" i="2"/>
  <c r="V101" i="2"/>
  <c r="H360" i="2"/>
  <c r="S28" i="2"/>
  <c r="E294" i="2"/>
  <c r="S294" i="2" s="1"/>
  <c r="W125" i="2"/>
  <c r="I365" i="2"/>
  <c r="S122" i="2"/>
  <c r="E362" i="2"/>
  <c r="S123" i="2"/>
  <c r="E363" i="2"/>
  <c r="S118" i="2"/>
  <c r="E358" i="2"/>
  <c r="S126" i="2"/>
  <c r="E366" i="2"/>
  <c r="F88" i="2"/>
  <c r="F351" i="2" s="1"/>
  <c r="T351" i="2" s="1"/>
  <c r="D351" i="2"/>
  <c r="T214" i="2"/>
  <c r="F96" i="2"/>
  <c r="T96" i="2" s="1"/>
  <c r="D355" i="2"/>
  <c r="V118" i="2"/>
  <c r="H358" i="2"/>
  <c r="S102" i="2"/>
  <c r="E361" i="2"/>
  <c r="W123" i="2"/>
  <c r="I363" i="2"/>
  <c r="W126" i="2"/>
  <c r="I366" i="2"/>
  <c r="W110" i="2"/>
  <c r="I369" i="2"/>
  <c r="F160" i="2"/>
  <c r="F411" i="2" s="1"/>
  <c r="V116" i="2"/>
  <c r="H356" i="2"/>
  <c r="W98" i="2"/>
  <c r="I357" i="2"/>
  <c r="S110" i="2"/>
  <c r="E369" i="2"/>
  <c r="V104" i="2"/>
  <c r="H363" i="2"/>
  <c r="S29" i="2"/>
  <c r="E295" i="2"/>
  <c r="S295" i="2" s="1"/>
  <c r="Y214" i="2"/>
  <c r="Y218" i="2"/>
  <c r="W118" i="2"/>
  <c r="I358" i="2"/>
  <c r="V102" i="2"/>
  <c r="H361" i="2"/>
  <c r="S105" i="2"/>
  <c r="E364" i="2"/>
  <c r="S127" i="2"/>
  <c r="E367" i="2"/>
  <c r="S111" i="2"/>
  <c r="E370" i="2"/>
  <c r="W29" i="2"/>
  <c r="I295" i="2"/>
  <c r="W295" i="2" s="1"/>
  <c r="V100" i="2"/>
  <c r="H359" i="2"/>
  <c r="V216" i="2"/>
  <c r="V220" i="2"/>
  <c r="W216" i="2"/>
  <c r="W220" i="2"/>
  <c r="W120" i="2"/>
  <c r="I360" i="2"/>
  <c r="V110" i="2"/>
  <c r="H369" i="2"/>
  <c r="V29" i="2"/>
  <c r="H295" i="2"/>
  <c r="V295" i="2" s="1"/>
  <c r="S215" i="2"/>
  <c r="S219" i="2"/>
  <c r="S97" i="2"/>
  <c r="E356" i="2"/>
  <c r="S119" i="2"/>
  <c r="E359" i="2"/>
  <c r="W102" i="2"/>
  <c r="I361" i="2"/>
  <c r="V105" i="2"/>
  <c r="H364" i="2"/>
  <c r="V108" i="2"/>
  <c r="H367" i="2"/>
  <c r="W111" i="2"/>
  <c r="I370" i="2"/>
  <c r="S176" i="2"/>
  <c r="S212" i="2"/>
  <c r="S194" i="2"/>
  <c r="S171" i="2"/>
  <c r="S189" i="2"/>
  <c r="S207" i="2"/>
  <c r="S158" i="2"/>
  <c r="S166" i="2"/>
  <c r="S202" i="2"/>
  <c r="S184" i="2"/>
  <c r="W157" i="2"/>
  <c r="S163" i="2"/>
  <c r="S181" i="2"/>
  <c r="S199" i="2"/>
  <c r="V158" i="2"/>
  <c r="Y160" i="2"/>
  <c r="Y196" i="2"/>
  <c r="Y178" i="2"/>
  <c r="S169" i="2"/>
  <c r="S205" i="2"/>
  <c r="S187" i="2"/>
  <c r="S172" i="2"/>
  <c r="S190" i="2"/>
  <c r="S208" i="2"/>
  <c r="S175" i="2"/>
  <c r="S193" i="2"/>
  <c r="S211" i="2"/>
  <c r="W158" i="2"/>
  <c r="S164" i="2"/>
  <c r="S182" i="2"/>
  <c r="S200" i="2"/>
  <c r="S167" i="2"/>
  <c r="S185" i="2"/>
  <c r="S203" i="2"/>
  <c r="Y156" i="2"/>
  <c r="S173" i="2"/>
  <c r="S209" i="2"/>
  <c r="S191" i="2"/>
  <c r="S157" i="2"/>
  <c r="S162" i="2"/>
  <c r="S198" i="2"/>
  <c r="S180" i="2"/>
  <c r="S165" i="2"/>
  <c r="S201" i="2"/>
  <c r="S183" i="2"/>
  <c r="S161" i="2"/>
  <c r="S197" i="2"/>
  <c r="S179" i="2"/>
  <c r="S170" i="2"/>
  <c r="S206" i="2"/>
  <c r="S188" i="2"/>
  <c r="V157" i="2"/>
  <c r="S168" i="2"/>
  <c r="S186" i="2"/>
  <c r="S204" i="2"/>
  <c r="S174" i="2"/>
  <c r="S210" i="2"/>
  <c r="S192" i="2"/>
  <c r="S89" i="2"/>
  <c r="S93" i="2"/>
  <c r="Y88" i="2"/>
  <c r="Y92" i="2"/>
  <c r="W89" i="2"/>
  <c r="W93" i="2"/>
  <c r="S90" i="2"/>
  <c r="S94" i="2"/>
  <c r="V90" i="2"/>
  <c r="V94" i="2"/>
  <c r="F42" i="1"/>
  <c r="F43" i="1" s="1"/>
  <c r="W90" i="2"/>
  <c r="W94" i="2"/>
  <c r="H47" i="1"/>
  <c r="H52" i="1"/>
  <c r="V89" i="2"/>
  <c r="V93" i="2"/>
  <c r="V28" i="2"/>
  <c r="W28" i="2"/>
  <c r="AA41" i="2"/>
  <c r="AA33" i="2"/>
  <c r="AA60" i="2"/>
  <c r="AA62" i="2"/>
  <c r="AA54" i="2"/>
  <c r="AA108" i="2"/>
  <c r="AA100" i="2"/>
  <c r="AA128" i="2"/>
  <c r="AA124" i="2"/>
  <c r="AA52" i="2"/>
  <c r="AA112" i="2"/>
  <c r="AA110" i="2"/>
  <c r="AA120" i="2"/>
  <c r="AA102" i="2"/>
  <c r="AA106" i="2"/>
  <c r="AA98" i="2"/>
  <c r="AA131" i="2"/>
  <c r="AA127" i="2"/>
  <c r="AA123" i="2"/>
  <c r="AA119" i="2"/>
  <c r="AA104" i="2"/>
  <c r="AA63" i="2"/>
  <c r="AA55" i="2"/>
  <c r="AA116" i="2"/>
  <c r="AA129" i="2"/>
  <c r="AA44" i="2"/>
  <c r="AA36" i="2"/>
  <c r="AA51" i="2"/>
  <c r="AA59" i="2"/>
  <c r="AA32" i="2"/>
  <c r="AA40" i="2"/>
  <c r="AA64" i="2"/>
  <c r="AA56" i="2"/>
  <c r="AA111" i="2"/>
  <c r="AA103" i="2"/>
  <c r="AA70" i="2"/>
  <c r="AA125" i="2"/>
  <c r="AA45" i="2"/>
  <c r="AA37" i="2"/>
  <c r="AA121" i="2"/>
  <c r="AA42" i="2"/>
  <c r="AA34" i="2"/>
  <c r="AA97" i="2"/>
  <c r="AA105" i="2"/>
  <c r="K25" i="2"/>
  <c r="Y25" i="2" s="1"/>
  <c r="AA130" i="2"/>
  <c r="AA126" i="2"/>
  <c r="AA122" i="2"/>
  <c r="AA118" i="2"/>
  <c r="AA83" i="2"/>
  <c r="AA79" i="2"/>
  <c r="AA75" i="2"/>
  <c r="AA71" i="2"/>
  <c r="K36" i="2"/>
  <c r="K302" i="2" s="1"/>
  <c r="Y338" i="2" s="1"/>
  <c r="Y69" i="2"/>
  <c r="Y50" i="2"/>
  <c r="Y31" i="2"/>
  <c r="AA117" i="2"/>
  <c r="AA109" i="2"/>
  <c r="AA101" i="2"/>
  <c r="K112" i="2"/>
  <c r="K371" i="2" s="1"/>
  <c r="Y115" i="2"/>
  <c r="Y96" i="2"/>
  <c r="AA107" i="2"/>
  <c r="AA99" i="2"/>
  <c r="AA43" i="2"/>
  <c r="AA35" i="2"/>
  <c r="AA61" i="2"/>
  <c r="AA53" i="2"/>
  <c r="AA82" i="2"/>
  <c r="AA78" i="2"/>
  <c r="AA74" i="2"/>
  <c r="AA85" i="2"/>
  <c r="AA81" i="2"/>
  <c r="AA77" i="2"/>
  <c r="AA73" i="2"/>
  <c r="AA66" i="2"/>
  <c r="AA58" i="2"/>
  <c r="AA47" i="2"/>
  <c r="AA39" i="2"/>
  <c r="AA65" i="2"/>
  <c r="AA57" i="2"/>
  <c r="AA84" i="2"/>
  <c r="AA80" i="2"/>
  <c r="AA76" i="2"/>
  <c r="AA72" i="2"/>
  <c r="AA46" i="2"/>
  <c r="AA38" i="2"/>
  <c r="W173" i="2"/>
  <c r="W209" i="2"/>
  <c r="W191" i="2"/>
  <c r="W165" i="2"/>
  <c r="W183" i="2"/>
  <c r="W201" i="2"/>
  <c r="V168" i="2"/>
  <c r="V186" i="2"/>
  <c r="V204" i="2"/>
  <c r="V174" i="2"/>
  <c r="V210" i="2"/>
  <c r="V192" i="2"/>
  <c r="V170" i="2"/>
  <c r="V188" i="2"/>
  <c r="V206" i="2"/>
  <c r="W162" i="2"/>
  <c r="W180" i="2"/>
  <c r="W198" i="2"/>
  <c r="V163" i="2"/>
  <c r="V181" i="2"/>
  <c r="V199" i="2"/>
  <c r="W168" i="2"/>
  <c r="W204" i="2"/>
  <c r="W186" i="2"/>
  <c r="W171" i="2"/>
  <c r="W207" i="2"/>
  <c r="W189" i="2"/>
  <c r="W174" i="2"/>
  <c r="W210" i="2"/>
  <c r="W192" i="2"/>
  <c r="W170" i="2"/>
  <c r="W206" i="2"/>
  <c r="W188" i="2"/>
  <c r="W163" i="2"/>
  <c r="W181" i="2"/>
  <c r="W199" i="2"/>
  <c r="V166" i="2"/>
  <c r="V184" i="2"/>
  <c r="V202" i="2"/>
  <c r="W166" i="2"/>
  <c r="W184" i="2"/>
  <c r="W202" i="2"/>
  <c r="V169" i="2"/>
  <c r="V205" i="2"/>
  <c r="V187" i="2"/>
  <c r="V172" i="2"/>
  <c r="V208" i="2"/>
  <c r="V190" i="2"/>
  <c r="W175" i="2"/>
  <c r="W211" i="2"/>
  <c r="W193" i="2"/>
  <c r="W167" i="2"/>
  <c r="W185" i="2"/>
  <c r="W203" i="2"/>
  <c r="V161" i="2"/>
  <c r="V179" i="2"/>
  <c r="V197" i="2"/>
  <c r="V164" i="2"/>
  <c r="V200" i="2"/>
  <c r="V182" i="2"/>
  <c r="W169" i="2"/>
  <c r="W205" i="2"/>
  <c r="W187" i="2"/>
  <c r="W172" i="2"/>
  <c r="W208" i="2"/>
  <c r="W190" i="2"/>
  <c r="V165" i="2"/>
  <c r="V183" i="2"/>
  <c r="V201" i="2"/>
  <c r="W161" i="2"/>
  <c r="W179" i="2"/>
  <c r="W197" i="2"/>
  <c r="W164" i="2"/>
  <c r="W200" i="2"/>
  <c r="W182" i="2"/>
  <c r="V167" i="2"/>
  <c r="V185" i="2"/>
  <c r="V203" i="2"/>
  <c r="W176" i="2"/>
  <c r="W212" i="2"/>
  <c r="W194" i="2"/>
  <c r="W226" i="2"/>
  <c r="W244" i="2"/>
  <c r="V229" i="2"/>
  <c r="V247" i="2"/>
  <c r="W238" i="2"/>
  <c r="W256" i="2"/>
  <c r="AA135" i="2"/>
  <c r="AA148" i="2"/>
  <c r="AA144" i="2"/>
  <c r="AA140" i="2"/>
  <c r="AA136" i="2"/>
  <c r="W229" i="2"/>
  <c r="W247" i="2"/>
  <c r="V232" i="2"/>
  <c r="V250" i="2"/>
  <c r="W235" i="2"/>
  <c r="W253" i="2"/>
  <c r="W231" i="2"/>
  <c r="W249" i="2"/>
  <c r="W224" i="2"/>
  <c r="W242" i="2"/>
  <c r="V227" i="2"/>
  <c r="V245" i="2"/>
  <c r="W232" i="2"/>
  <c r="W250" i="2"/>
  <c r="AA147" i="2"/>
  <c r="AA143" i="2"/>
  <c r="AA139" i="2"/>
  <c r="W227" i="2"/>
  <c r="W245" i="2"/>
  <c r="V230" i="2"/>
  <c r="V248" i="2"/>
  <c r="V236" i="2"/>
  <c r="V254" i="2"/>
  <c r="V225" i="2"/>
  <c r="V243" i="2"/>
  <c r="W230" i="2"/>
  <c r="W248" i="2"/>
  <c r="W233" i="2"/>
  <c r="W251" i="2"/>
  <c r="W236" i="2"/>
  <c r="W254" i="2"/>
  <c r="AA150" i="2"/>
  <c r="AA146" i="2"/>
  <c r="AA142" i="2"/>
  <c r="AA138" i="2"/>
  <c r="V226" i="2"/>
  <c r="V244" i="2"/>
  <c r="W225" i="2"/>
  <c r="W243" i="2"/>
  <c r="V228" i="2"/>
  <c r="V246" i="2"/>
  <c r="W234" i="2"/>
  <c r="W252" i="2"/>
  <c r="W228" i="2"/>
  <c r="W246" i="2"/>
  <c r="V231" i="2"/>
  <c r="V249" i="2"/>
  <c r="V234" i="2"/>
  <c r="V252" i="2"/>
  <c r="W237" i="2"/>
  <c r="W255" i="2"/>
  <c r="AA149" i="2"/>
  <c r="AA145" i="2"/>
  <c r="AA141" i="2"/>
  <c r="AA137" i="2"/>
  <c r="V223" i="2"/>
  <c r="V241" i="2"/>
  <c r="W223" i="2"/>
  <c r="W241" i="2"/>
  <c r="AA14" i="2"/>
  <c r="AA12" i="2"/>
  <c r="AA10" i="2"/>
  <c r="AA8" i="2"/>
  <c r="K238" i="2"/>
  <c r="Y256" i="2" s="1"/>
  <c r="AA19" i="2"/>
  <c r="K216" i="2"/>
  <c r="K467" i="2" s="1"/>
  <c r="Y467" i="2" s="1"/>
  <c r="K153" i="2"/>
  <c r="AA18" i="2"/>
  <c r="K136" i="2"/>
  <c r="Y136" i="2" s="1"/>
  <c r="AA16" i="2"/>
  <c r="S108" i="2"/>
  <c r="V129" i="2"/>
  <c r="W117" i="2"/>
  <c r="W121" i="2"/>
  <c r="S99" i="2"/>
  <c r="S103" i="2"/>
  <c r="W104" i="2"/>
  <c r="K90" i="2"/>
  <c r="K353" i="2" s="1"/>
  <c r="Y353" i="2" s="1"/>
  <c r="AA21" i="2"/>
  <c r="S100" i="2"/>
  <c r="W129" i="2"/>
  <c r="K164" i="2"/>
  <c r="K415" i="2" s="1"/>
  <c r="AA7" i="2"/>
  <c r="M7" i="2"/>
  <c r="AA17" i="2"/>
  <c r="S107" i="2"/>
  <c r="S112" i="2"/>
  <c r="W106" i="2"/>
  <c r="S130" i="2"/>
  <c r="V121" i="2"/>
  <c r="AA15" i="2"/>
  <c r="AA13" i="2"/>
  <c r="AA11" i="2"/>
  <c r="AA9" i="2"/>
  <c r="AA20" i="2"/>
  <c r="W127" i="2"/>
  <c r="V119" i="2"/>
  <c r="K20" i="2"/>
  <c r="Y20" i="2" s="1"/>
  <c r="AA6" i="2"/>
  <c r="S104" i="2"/>
  <c r="W101" i="2"/>
  <c r="V127" i="2"/>
  <c r="V123" i="2"/>
  <c r="W131" i="2"/>
  <c r="V106" i="2"/>
  <c r="W107" i="2"/>
  <c r="W99" i="2"/>
  <c r="S129" i="2"/>
  <c r="S125" i="2"/>
  <c r="S121" i="2"/>
  <c r="S117" i="2"/>
  <c r="W109" i="2"/>
  <c r="V97" i="2"/>
  <c r="V99" i="2"/>
  <c r="W130" i="2"/>
  <c r="W124" i="2"/>
  <c r="W122" i="2"/>
  <c r="W116" i="2"/>
  <c r="V103" i="2"/>
  <c r="S128" i="2"/>
  <c r="S124" i="2"/>
  <c r="S120" i="2"/>
  <c r="S116" i="2"/>
  <c r="V124" i="2"/>
  <c r="V120" i="2"/>
  <c r="W100" i="2"/>
  <c r="V74" i="2"/>
  <c r="W77" i="2"/>
  <c r="S84" i="2"/>
  <c r="S80" i="2"/>
  <c r="S76" i="2"/>
  <c r="S72" i="2"/>
  <c r="W85" i="2"/>
  <c r="W80" i="2"/>
  <c r="V77" i="2"/>
  <c r="W72" i="2"/>
  <c r="W83" i="2"/>
  <c r="W75" i="2"/>
  <c r="V72" i="2"/>
  <c r="S83" i="2"/>
  <c r="S79" i="2"/>
  <c r="S75" i="2"/>
  <c r="S71" i="2"/>
  <c r="V83" i="2"/>
  <c r="W78" i="2"/>
  <c r="V75" i="2"/>
  <c r="W70" i="2"/>
  <c r="W81" i="2"/>
  <c r="V78" i="2"/>
  <c r="W73" i="2"/>
  <c r="V70" i="2"/>
  <c r="S78" i="2"/>
  <c r="S74" i="2"/>
  <c r="S70" i="2"/>
  <c r="W84" i="2"/>
  <c r="V81" i="2"/>
  <c r="W76" i="2"/>
  <c r="V73" i="2"/>
  <c r="W79" i="2"/>
  <c r="V76" i="2"/>
  <c r="W71" i="2"/>
  <c r="S85" i="2"/>
  <c r="S81" i="2"/>
  <c r="S77" i="2"/>
  <c r="S73" i="2"/>
  <c r="W82" i="2"/>
  <c r="V79" i="2"/>
  <c r="W74" i="2"/>
  <c r="W62" i="2"/>
  <c r="S44" i="2"/>
  <c r="W64" i="2"/>
  <c r="W58" i="2"/>
  <c r="V51" i="2"/>
  <c r="V53" i="2"/>
  <c r="W56" i="2"/>
  <c r="S52" i="2"/>
  <c r="V64" i="2"/>
  <c r="W59" i="2"/>
  <c r="V56" i="2"/>
  <c r="W51" i="2"/>
  <c r="S63" i="2"/>
  <c r="S55" i="2"/>
  <c r="W65" i="2"/>
  <c r="V62" i="2"/>
  <c r="W57" i="2"/>
  <c r="V54" i="2"/>
  <c r="V59" i="2"/>
  <c r="W54" i="2"/>
  <c r="W60" i="2"/>
  <c r="V57" i="2"/>
  <c r="W52" i="2"/>
  <c r="W63" i="2"/>
  <c r="V60" i="2"/>
  <c r="W55" i="2"/>
  <c r="V55" i="2"/>
  <c r="W66" i="2"/>
  <c r="W61" i="2"/>
  <c r="V58" i="2"/>
  <c r="W53" i="2"/>
  <c r="S32" i="2"/>
  <c r="S34" i="2"/>
  <c r="S42" i="2"/>
  <c r="T11" i="2"/>
  <c r="S45" i="2"/>
  <c r="S37" i="2"/>
  <c r="S31" i="2"/>
  <c r="S11" i="2"/>
  <c r="S46" i="2"/>
  <c r="S35" i="2"/>
  <c r="T43" i="2"/>
  <c r="S40" i="2"/>
  <c r="S38" i="2"/>
  <c r="S47" i="2"/>
  <c r="T40" i="2"/>
  <c r="S39" i="2"/>
  <c r="S43" i="2"/>
  <c r="S41" i="2"/>
  <c r="T39" i="2"/>
  <c r="AA39" i="3"/>
  <c r="T45" i="2"/>
  <c r="W11" i="2"/>
  <c r="V11" i="2"/>
  <c r="K395" i="2"/>
  <c r="Y395" i="2" s="1"/>
  <c r="K9" i="2"/>
  <c r="Y9" i="2" s="1"/>
  <c r="K144" i="2"/>
  <c r="Y144" i="2" s="1"/>
  <c r="K150" i="2"/>
  <c r="Y150" i="2" s="1"/>
  <c r="K286" i="2"/>
  <c r="Y286" i="2" s="1"/>
  <c r="K289" i="2"/>
  <c r="Y289" i="2" s="1"/>
  <c r="K272" i="2"/>
  <c r="K284" i="2"/>
  <c r="Y284" i="2" s="1"/>
  <c r="K100" i="2"/>
  <c r="K359" i="2" s="1"/>
  <c r="K143" i="2"/>
  <c r="Y143" i="2" s="1"/>
  <c r="K280" i="2"/>
  <c r="Y280" i="2" s="1"/>
  <c r="K290" i="2"/>
  <c r="Y290" i="2" s="1"/>
  <c r="K141" i="2"/>
  <c r="Y141" i="2" s="1"/>
  <c r="K24" i="2"/>
  <c r="K268" i="2"/>
  <c r="K101" i="2"/>
  <c r="K360" i="2" s="1"/>
  <c r="K270" i="2"/>
  <c r="K287" i="2"/>
  <c r="Y287" i="2" s="1"/>
  <c r="K154" i="2"/>
  <c r="K89" i="2"/>
  <c r="K352" i="2" s="1"/>
  <c r="Y352" i="2" s="1"/>
  <c r="K271" i="2"/>
  <c r="K138" i="2"/>
  <c r="Y138" i="2" s="1"/>
  <c r="K147" i="2"/>
  <c r="Y147" i="2" s="1"/>
  <c r="K37" i="2"/>
  <c r="K303" i="2" s="1"/>
  <c r="Y339" i="2" s="1"/>
  <c r="K39" i="2"/>
  <c r="K305" i="2" s="1"/>
  <c r="Y341" i="2" s="1"/>
  <c r="K41" i="2"/>
  <c r="K307" i="2" s="1"/>
  <c r="Y343" i="2" s="1"/>
  <c r="K228" i="2"/>
  <c r="Y246" i="2" s="1"/>
  <c r="K145" i="2"/>
  <c r="Y145" i="2" s="1"/>
  <c r="K33" i="2"/>
  <c r="K299" i="2" s="1"/>
  <c r="Y335" i="2" s="1"/>
  <c r="K35" i="2"/>
  <c r="K301" i="2" s="1"/>
  <c r="Y337" i="2" s="1"/>
  <c r="K46" i="2"/>
  <c r="K312" i="2" s="1"/>
  <c r="Y348" i="2" s="1"/>
  <c r="K215" i="2"/>
  <c r="K466" i="2" s="1"/>
  <c r="Y466" i="2" s="1"/>
  <c r="K274" i="2"/>
  <c r="K148" i="2"/>
  <c r="Y148" i="2" s="1"/>
  <c r="K42" i="2"/>
  <c r="K308" i="2" s="1"/>
  <c r="Y344" i="2" s="1"/>
  <c r="K10" i="2"/>
  <c r="Y10" i="2" s="1"/>
  <c r="K137" i="2"/>
  <c r="Y137" i="2" s="1"/>
  <c r="K146" i="2"/>
  <c r="Y146" i="2" s="1"/>
  <c r="K38" i="2"/>
  <c r="K304" i="2" s="1"/>
  <c r="Y340" i="2" s="1"/>
  <c r="K40" i="2"/>
  <c r="K306" i="2" s="1"/>
  <c r="Y342" i="2" s="1"/>
  <c r="K47" i="2"/>
  <c r="K313" i="2" s="1"/>
  <c r="Y349" i="2" s="1"/>
  <c r="K227" i="2"/>
  <c r="Y245" i="2" s="1"/>
  <c r="K275" i="2"/>
  <c r="K283" i="2"/>
  <c r="Y283" i="2" s="1"/>
  <c r="K285" i="2"/>
  <c r="Y285" i="2" s="1"/>
  <c r="K273" i="2"/>
  <c r="K396" i="2"/>
  <c r="Y396" i="2" s="1"/>
  <c r="K44" i="2"/>
  <c r="K310" i="2" s="1"/>
  <c r="Y346" i="2" s="1"/>
  <c r="K34" i="2"/>
  <c r="K300" i="2" s="1"/>
  <c r="Y336" i="2" s="1"/>
  <c r="K142" i="2"/>
  <c r="Y142" i="2" s="1"/>
  <c r="K32" i="2"/>
  <c r="K298" i="2" s="1"/>
  <c r="Y334" i="2" s="1"/>
  <c r="K45" i="2"/>
  <c r="K311" i="2" s="1"/>
  <c r="Y347" i="2" s="1"/>
  <c r="K149" i="2"/>
  <c r="Y149" i="2" s="1"/>
  <c r="K43" i="2"/>
  <c r="K309" i="2" s="1"/>
  <c r="Y345" i="2" s="1"/>
  <c r="K267" i="2"/>
  <c r="K269" i="2"/>
  <c r="K288" i="2"/>
  <c r="Y288" i="2" s="1"/>
  <c r="F141" i="2"/>
  <c r="T141" i="2" s="1"/>
  <c r="F136" i="2"/>
  <c r="T136" i="2" s="1"/>
  <c r="F138" i="2"/>
  <c r="T138" i="2" s="1"/>
  <c r="F139" i="2"/>
  <c r="T139" i="2" s="1"/>
  <c r="F150" i="2"/>
  <c r="T150" i="2" s="1"/>
  <c r="F148" i="2"/>
  <c r="T148" i="2" s="1"/>
  <c r="F146" i="2"/>
  <c r="T146" i="2" s="1"/>
  <c r="F144" i="2"/>
  <c r="T144" i="2" s="1"/>
  <c r="F137" i="2"/>
  <c r="T137" i="2" s="1"/>
  <c r="F140" i="2"/>
  <c r="T140" i="2" s="1"/>
  <c r="F135" i="2"/>
  <c r="T135" i="2" s="1"/>
  <c r="F9" i="2"/>
  <c r="T9" i="2" s="1"/>
  <c r="F17" i="2"/>
  <c r="T17" i="2" s="1"/>
  <c r="F12" i="2"/>
  <c r="T12" i="2" s="1"/>
  <c r="F10" i="2"/>
  <c r="T10" i="2" s="1"/>
  <c r="F21" i="2"/>
  <c r="T21" i="2" s="1"/>
  <c r="F19" i="2"/>
  <c r="T19" i="2" s="1"/>
  <c r="F15" i="2"/>
  <c r="T15" i="2" s="1"/>
  <c r="F8" i="2"/>
  <c r="T8" i="2" s="1"/>
  <c r="F397" i="2"/>
  <c r="T397" i="2" s="1"/>
  <c r="F395" i="2"/>
  <c r="T395" i="2" s="1"/>
  <c r="F393" i="2"/>
  <c r="T393" i="2" s="1"/>
  <c r="F405" i="2"/>
  <c r="T405" i="2" s="1"/>
  <c r="F401" i="2"/>
  <c r="T401" i="2" s="1"/>
  <c r="F394" i="2"/>
  <c r="T394" i="2" s="1"/>
  <c r="F396" i="2"/>
  <c r="T396" i="2" s="1"/>
  <c r="F392" i="2"/>
  <c r="T392" i="2" s="1"/>
  <c r="F403" i="2"/>
  <c r="T403" i="2" s="1"/>
  <c r="F282" i="2"/>
  <c r="T282" i="2" s="1"/>
  <c r="K166" i="2"/>
  <c r="K417" i="2" s="1"/>
  <c r="F267" i="2"/>
  <c r="K6" i="2"/>
  <c r="Y6" i="2" s="1"/>
  <c r="K11" i="2"/>
  <c r="Y11" i="2" s="1"/>
  <c r="K163" i="2"/>
  <c r="K414" i="2" s="1"/>
  <c r="K168" i="2"/>
  <c r="K419" i="2" s="1"/>
  <c r="K170" i="2"/>
  <c r="K421" i="2" s="1"/>
  <c r="K172" i="2"/>
  <c r="K423" i="2" s="1"/>
  <c r="K174" i="2"/>
  <c r="K425" i="2" s="1"/>
  <c r="K176" i="2"/>
  <c r="K427" i="2" s="1"/>
  <c r="K229" i="2"/>
  <c r="Y247" i="2" s="1"/>
  <c r="K231" i="2"/>
  <c r="Y249" i="2" s="1"/>
  <c r="K233" i="2"/>
  <c r="Y251" i="2" s="1"/>
  <c r="K235" i="2"/>
  <c r="Y253" i="2" s="1"/>
  <c r="K237" i="2"/>
  <c r="Y255" i="2" s="1"/>
  <c r="F264" i="2"/>
  <c r="K265" i="2"/>
  <c r="F271" i="2"/>
  <c r="F273" i="2"/>
  <c r="F275" i="2"/>
  <c r="K397" i="2"/>
  <c r="Y397" i="2" s="1"/>
  <c r="K399" i="2"/>
  <c r="Y399" i="2" s="1"/>
  <c r="K401" i="2"/>
  <c r="Y401" i="2" s="1"/>
  <c r="K403" i="2"/>
  <c r="Y403" i="2" s="1"/>
  <c r="K405" i="2"/>
  <c r="Y405" i="2" s="1"/>
  <c r="F153" i="2"/>
  <c r="K161" i="2"/>
  <c r="K412" i="2" s="1"/>
  <c r="K8" i="2"/>
  <c r="Y8" i="2" s="1"/>
  <c r="K13" i="2"/>
  <c r="Y13" i="2" s="1"/>
  <c r="K15" i="2"/>
  <c r="Y15" i="2" s="1"/>
  <c r="K17" i="2"/>
  <c r="Y17" i="2" s="1"/>
  <c r="K19" i="2"/>
  <c r="Y19" i="2" s="1"/>
  <c r="K21" i="2"/>
  <c r="Y21" i="2" s="1"/>
  <c r="K135" i="2"/>
  <c r="Y135" i="2" s="1"/>
  <c r="K140" i="2"/>
  <c r="Y140" i="2" s="1"/>
  <c r="K103" i="2"/>
  <c r="K362" i="2" s="1"/>
  <c r="K105" i="2"/>
  <c r="K364" i="2" s="1"/>
  <c r="K107" i="2"/>
  <c r="K366" i="2" s="1"/>
  <c r="K109" i="2"/>
  <c r="K368" i="2" s="1"/>
  <c r="K111" i="2"/>
  <c r="K370" i="2" s="1"/>
  <c r="K226" i="2"/>
  <c r="Y244" i="2" s="1"/>
  <c r="F262" i="2"/>
  <c r="K394" i="2"/>
  <c r="Y394" i="2" s="1"/>
  <c r="F279" i="2"/>
  <c r="T279" i="2" s="1"/>
  <c r="F281" i="2"/>
  <c r="T281" i="2" s="1"/>
  <c r="K282" i="2"/>
  <c r="Y282" i="2" s="1"/>
  <c r="F283" i="2"/>
  <c r="T283" i="2" s="1"/>
  <c r="K264" i="2"/>
  <c r="K7" i="2"/>
  <c r="Y7" i="2" s="1"/>
  <c r="K139" i="2"/>
  <c r="Y139" i="2" s="1"/>
  <c r="K167" i="2"/>
  <c r="K418" i="2" s="1"/>
  <c r="K169" i="2"/>
  <c r="K420" i="2" s="1"/>
  <c r="K171" i="2"/>
  <c r="K422" i="2" s="1"/>
  <c r="K173" i="2"/>
  <c r="K424" i="2" s="1"/>
  <c r="K175" i="2"/>
  <c r="K426" i="2" s="1"/>
  <c r="K102" i="2"/>
  <c r="K361" i="2" s="1"/>
  <c r="K225" i="2"/>
  <c r="Y243" i="2" s="1"/>
  <c r="K230" i="2"/>
  <c r="Y248" i="2" s="1"/>
  <c r="K232" i="2"/>
  <c r="Y250" i="2" s="1"/>
  <c r="K234" i="2"/>
  <c r="Y252" i="2" s="1"/>
  <c r="K236" i="2"/>
  <c r="Y254" i="2" s="1"/>
  <c r="K398" i="2"/>
  <c r="Y398" i="2" s="1"/>
  <c r="K400" i="2"/>
  <c r="Y400" i="2" s="1"/>
  <c r="K402" i="2"/>
  <c r="Y402" i="2" s="1"/>
  <c r="F280" i="2"/>
  <c r="T280" i="2" s="1"/>
  <c r="K281" i="2"/>
  <c r="Y281" i="2" s="1"/>
  <c r="F287" i="2"/>
  <c r="T287" i="2" s="1"/>
  <c r="F289" i="2"/>
  <c r="T289" i="2" s="1"/>
  <c r="F291" i="2"/>
  <c r="T291" i="2" s="1"/>
  <c r="K165" i="2"/>
  <c r="K416" i="2" s="1"/>
  <c r="F266" i="2"/>
  <c r="K162" i="2"/>
  <c r="K413" i="2" s="1"/>
  <c r="K12" i="2"/>
  <c r="Y12" i="2" s="1"/>
  <c r="K14" i="2"/>
  <c r="Y14" i="2" s="1"/>
  <c r="K16" i="2"/>
  <c r="Y16" i="2" s="1"/>
  <c r="K18" i="2"/>
  <c r="Y18" i="2" s="1"/>
  <c r="K99" i="2"/>
  <c r="K358" i="2" s="1"/>
  <c r="K104" i="2"/>
  <c r="K363" i="2" s="1"/>
  <c r="K106" i="2"/>
  <c r="K365" i="2" s="1"/>
  <c r="K108" i="2"/>
  <c r="K367" i="2" s="1"/>
  <c r="K110" i="2"/>
  <c r="K369" i="2" s="1"/>
  <c r="F263" i="2"/>
  <c r="AM335" i="3" l="1"/>
  <c r="AN379" i="3"/>
  <c r="AH311" i="1"/>
  <c r="AH312" i="1" s="1"/>
  <c r="AH313" i="1" s="1"/>
  <c r="AI320" i="1" s="1"/>
  <c r="K409" i="2"/>
  <c r="Y409" i="2" s="1"/>
  <c r="Y154" i="2"/>
  <c r="AN83" i="3"/>
  <c r="AN120" i="3"/>
  <c r="AN342" i="3"/>
  <c r="AH41" i="1"/>
  <c r="AH42" i="1" s="1"/>
  <c r="AH43" i="1" s="1"/>
  <c r="F24" i="2"/>
  <c r="T23" i="2"/>
  <c r="AN157" i="3"/>
  <c r="AN194" i="3"/>
  <c r="K408" i="2"/>
  <c r="Y408" i="2" s="1"/>
  <c r="Y153" i="2"/>
  <c r="AN231" i="3"/>
  <c r="AM76" i="3"/>
  <c r="AH203" i="1"/>
  <c r="AH473" i="1"/>
  <c r="AH474" i="1" s="1"/>
  <c r="AH475" i="1" s="1"/>
  <c r="F238" i="2"/>
  <c r="T256" i="2" s="1"/>
  <c r="T240" i="2"/>
  <c r="AJ527" i="1" s="1"/>
  <c r="AJ528" i="1" s="1"/>
  <c r="AJ529" i="1" s="1"/>
  <c r="AM39" i="3"/>
  <c r="AM150" i="3"/>
  <c r="AH149" i="1"/>
  <c r="AH150" i="1" s="1"/>
  <c r="AH151" i="1" s="1"/>
  <c r="AM113" i="3"/>
  <c r="AM224" i="3"/>
  <c r="AH95" i="1"/>
  <c r="AH96" i="1" s="1"/>
  <c r="AH97" i="1" s="1"/>
  <c r="AJ95" i="1"/>
  <c r="AJ96" i="1" s="1"/>
  <c r="AJ97" i="1" s="1"/>
  <c r="K294" i="2"/>
  <c r="Y294" i="2" s="1"/>
  <c r="Y24" i="2"/>
  <c r="AJ365" i="1"/>
  <c r="AJ366" i="1" s="1"/>
  <c r="AJ367" i="1" s="1"/>
  <c r="AJ376" i="1" s="1"/>
  <c r="AM187" i="3"/>
  <c r="AM298" i="3"/>
  <c r="AH527" i="1"/>
  <c r="AJ41" i="1"/>
  <c r="AJ42" i="1" s="1"/>
  <c r="AJ43" i="1" s="1"/>
  <c r="AH430" i="1"/>
  <c r="AH51" i="1"/>
  <c r="AI429" i="1"/>
  <c r="AH532" i="1"/>
  <c r="AU532" i="1" s="1"/>
  <c r="AH106" i="1"/>
  <c r="AH429" i="1"/>
  <c r="AH105" i="1"/>
  <c r="AH478" i="1"/>
  <c r="AU478" i="1" s="1"/>
  <c r="AH52" i="1"/>
  <c r="AH370" i="1"/>
  <c r="AU370" i="1" s="1"/>
  <c r="AH376" i="1"/>
  <c r="AI213" i="1"/>
  <c r="AH371" i="1"/>
  <c r="AI105" i="1"/>
  <c r="AH160" i="1"/>
  <c r="AI51" i="1"/>
  <c r="AU51" i="1" s="1"/>
  <c r="AH425" i="1"/>
  <c r="AH432" i="1" s="1"/>
  <c r="AI267" i="1"/>
  <c r="AH213" i="1"/>
  <c r="AI537" i="1"/>
  <c r="AI159" i="1"/>
  <c r="AH159" i="1"/>
  <c r="AI483" i="1"/>
  <c r="AH424" i="1"/>
  <c r="AU424" i="1" s="1"/>
  <c r="AH267" i="1"/>
  <c r="AH155" i="1"/>
  <c r="AH100" i="1"/>
  <c r="AU100" i="1" s="1"/>
  <c r="AH375" i="1"/>
  <c r="AH316" i="1"/>
  <c r="AU316" i="1" s="1"/>
  <c r="AH483" i="1"/>
  <c r="AH101" i="1"/>
  <c r="AI321" i="1"/>
  <c r="AH154" i="1"/>
  <c r="AU154" i="1" s="1"/>
  <c r="AH321" i="1"/>
  <c r="AH262" i="1"/>
  <c r="AU262" i="1" s="1"/>
  <c r="AH537" i="1"/>
  <c r="AH47" i="1"/>
  <c r="AH54" i="1" s="1"/>
  <c r="AI375" i="1"/>
  <c r="AH208" i="1"/>
  <c r="AU208" i="1" s="1"/>
  <c r="AH46" i="1"/>
  <c r="AU46" i="1" s="1"/>
  <c r="F408" i="2"/>
  <c r="T408" i="2" s="1"/>
  <c r="T153" i="2"/>
  <c r="AH365" i="1"/>
  <c r="AH366" i="1" s="1"/>
  <c r="AH367" i="1" s="1"/>
  <c r="AM372" i="3"/>
  <c r="AN305" i="3"/>
  <c r="AH257" i="1"/>
  <c r="AH258" i="1" s="1"/>
  <c r="AH259" i="1" s="1"/>
  <c r="AH419" i="1"/>
  <c r="AH420" i="1" s="1"/>
  <c r="AH421" i="1" s="1"/>
  <c r="AN268" i="3"/>
  <c r="AM261" i="3"/>
  <c r="AM338" i="3"/>
  <c r="AM79" i="3"/>
  <c r="AM375" i="3"/>
  <c r="AN267" i="3"/>
  <c r="AM78" i="3"/>
  <c r="AM227" i="3"/>
  <c r="AN152" i="3"/>
  <c r="AM115" i="3"/>
  <c r="AN227" i="3"/>
  <c r="AN263" i="3"/>
  <c r="AN115" i="3"/>
  <c r="AN116" i="3"/>
  <c r="AM263" i="3"/>
  <c r="AN156" i="3"/>
  <c r="AM44" i="3"/>
  <c r="AN377" i="3"/>
  <c r="AM301" i="3"/>
  <c r="AM264" i="3"/>
  <c r="AM374" i="3"/>
  <c r="AN375" i="3"/>
  <c r="AM153" i="3"/>
  <c r="AM267" i="3"/>
  <c r="AN300" i="3"/>
  <c r="AM156" i="3"/>
  <c r="AN44" i="3"/>
  <c r="AN119" i="3"/>
  <c r="AM377" i="3"/>
  <c r="AN301" i="3"/>
  <c r="AM42" i="3"/>
  <c r="AN81" i="3"/>
  <c r="AM41" i="3"/>
  <c r="AM303" i="3"/>
  <c r="AN193" i="3"/>
  <c r="AN374" i="3"/>
  <c r="AN45" i="3"/>
  <c r="AM119" i="3"/>
  <c r="AM230" i="3"/>
  <c r="AN41" i="3"/>
  <c r="AM341" i="3"/>
  <c r="AM266" i="3"/>
  <c r="AN78" i="3"/>
  <c r="AN337" i="3"/>
  <c r="AM304" i="3"/>
  <c r="AN82" i="3"/>
  <c r="AM118" i="3"/>
  <c r="AN341" i="3"/>
  <c r="AM190" i="3"/>
  <c r="AN226" i="3"/>
  <c r="AM116" i="3"/>
  <c r="AM82" i="3"/>
  <c r="AN189" i="3"/>
  <c r="AM300" i="3"/>
  <c r="AN338" i="3"/>
  <c r="AN304" i="3"/>
  <c r="AM81" i="3"/>
  <c r="AN378" i="3"/>
  <c r="AM193" i="3"/>
  <c r="AN190" i="3"/>
  <c r="AN79" i="3"/>
  <c r="AN153" i="3"/>
  <c r="AM45" i="3"/>
  <c r="AM378" i="3"/>
  <c r="AN42" i="3"/>
  <c r="AN230" i="3"/>
  <c r="AN264" i="3"/>
  <c r="S503" i="2"/>
  <c r="S485" i="2"/>
  <c r="S478" i="2"/>
  <c r="S496" i="2"/>
  <c r="S489" i="2"/>
  <c r="S471" i="2"/>
  <c r="S479" i="2"/>
  <c r="S497" i="2"/>
  <c r="S501" i="2"/>
  <c r="S483" i="2"/>
  <c r="S476" i="2"/>
  <c r="S494" i="2"/>
  <c r="S473" i="2"/>
  <c r="S491" i="2"/>
  <c r="Y487" i="2"/>
  <c r="Y469" i="2"/>
  <c r="S477" i="2"/>
  <c r="S495" i="2"/>
  <c r="S475" i="2"/>
  <c r="S493" i="2"/>
  <c r="S488" i="2"/>
  <c r="S470" i="2"/>
  <c r="S502" i="2"/>
  <c r="S484" i="2"/>
  <c r="S480" i="2"/>
  <c r="S498" i="2"/>
  <c r="S474" i="2"/>
  <c r="S492" i="2"/>
  <c r="S482" i="2"/>
  <c r="S500" i="2"/>
  <c r="S481" i="2"/>
  <c r="S499" i="2"/>
  <c r="S472" i="2"/>
  <c r="S490" i="2"/>
  <c r="Y422" i="2"/>
  <c r="Y458" i="2"/>
  <c r="Y440" i="2"/>
  <c r="Y418" i="2"/>
  <c r="Y454" i="2"/>
  <c r="Y436" i="2"/>
  <c r="Y412" i="2"/>
  <c r="Y430" i="2"/>
  <c r="Y448" i="2"/>
  <c r="Y427" i="2"/>
  <c r="Y445" i="2"/>
  <c r="Y463" i="2"/>
  <c r="Y425" i="2"/>
  <c r="Y443" i="2"/>
  <c r="Y461" i="2"/>
  <c r="Y414" i="2"/>
  <c r="Y432" i="2"/>
  <c r="Y450" i="2"/>
  <c r="Y420" i="2"/>
  <c r="Y456" i="2"/>
  <c r="Y438" i="2"/>
  <c r="Y415" i="2"/>
  <c r="Y451" i="2"/>
  <c r="Y433" i="2"/>
  <c r="Y417" i="2"/>
  <c r="Y453" i="2"/>
  <c r="Y435" i="2"/>
  <c r="Y423" i="2"/>
  <c r="Y459" i="2"/>
  <c r="Y441" i="2"/>
  <c r="Y426" i="2"/>
  <c r="Y444" i="2"/>
  <c r="Y462" i="2"/>
  <c r="Y421" i="2"/>
  <c r="Y457" i="2"/>
  <c r="Y439" i="2"/>
  <c r="T411" i="2"/>
  <c r="T429" i="2"/>
  <c r="T447" i="2"/>
  <c r="Y413" i="2"/>
  <c r="Y431" i="2"/>
  <c r="Y449" i="2"/>
  <c r="Y416" i="2"/>
  <c r="Y452" i="2"/>
  <c r="Y434" i="2"/>
  <c r="Y424" i="2"/>
  <c r="Y442" i="2"/>
  <c r="Y460" i="2"/>
  <c r="Y419" i="2"/>
  <c r="Y455" i="2"/>
  <c r="Y437" i="2"/>
  <c r="F233" i="2"/>
  <c r="Y369" i="2"/>
  <c r="Y387" i="2"/>
  <c r="Y371" i="2"/>
  <c r="Y389" i="2"/>
  <c r="W370" i="2"/>
  <c r="W388" i="2"/>
  <c r="S359" i="2"/>
  <c r="S377" i="2"/>
  <c r="V369" i="2"/>
  <c r="V387" i="2"/>
  <c r="V359" i="2"/>
  <c r="V377" i="2"/>
  <c r="S364" i="2"/>
  <c r="S382" i="2"/>
  <c r="V356" i="2"/>
  <c r="V374" i="2"/>
  <c r="S362" i="2"/>
  <c r="S380" i="2"/>
  <c r="W368" i="2"/>
  <c r="W386" i="2"/>
  <c r="S357" i="2"/>
  <c r="S375" i="2"/>
  <c r="W367" i="2"/>
  <c r="W385" i="2"/>
  <c r="S365" i="2"/>
  <c r="S383" i="2"/>
  <c r="W357" i="2"/>
  <c r="W375" i="2"/>
  <c r="S361" i="2"/>
  <c r="S379" i="2"/>
  <c r="S367" i="2"/>
  <c r="S385" i="2"/>
  <c r="S363" i="2"/>
  <c r="S381" i="2"/>
  <c r="V360" i="2"/>
  <c r="V378" i="2"/>
  <c r="S371" i="2"/>
  <c r="S389" i="2"/>
  <c r="W356" i="2"/>
  <c r="W374" i="2"/>
  <c r="Y370" i="2"/>
  <c r="Y388" i="2"/>
  <c r="V367" i="2"/>
  <c r="V385" i="2"/>
  <c r="S356" i="2"/>
  <c r="S374" i="2"/>
  <c r="W360" i="2"/>
  <c r="W378" i="2"/>
  <c r="V361" i="2"/>
  <c r="V379" i="2"/>
  <c r="V363" i="2"/>
  <c r="V381" i="2"/>
  <c r="S366" i="2"/>
  <c r="S384" i="2"/>
  <c r="W365" i="2"/>
  <c r="W383" i="2"/>
  <c r="V365" i="2"/>
  <c r="V383" i="2"/>
  <c r="V362" i="2"/>
  <c r="V380" i="2"/>
  <c r="W369" i="2"/>
  <c r="W387" i="2"/>
  <c r="V358" i="2"/>
  <c r="V376" i="2"/>
  <c r="Y367" i="2"/>
  <c r="Y385" i="2"/>
  <c r="Y365" i="2"/>
  <c r="Y383" i="2"/>
  <c r="Y363" i="2"/>
  <c r="Y381" i="2"/>
  <c r="Y366" i="2"/>
  <c r="Y384" i="2"/>
  <c r="Y358" i="2"/>
  <c r="Y376" i="2"/>
  <c r="Y362" i="2"/>
  <c r="Y380" i="2"/>
  <c r="Y360" i="2"/>
  <c r="Y378" i="2"/>
  <c r="Y359" i="2"/>
  <c r="Y377" i="2"/>
  <c r="F154" i="2"/>
  <c r="V364" i="2"/>
  <c r="V382" i="2"/>
  <c r="S370" i="2"/>
  <c r="S388" i="2"/>
  <c r="W358" i="2"/>
  <c r="W376" i="2"/>
  <c r="S369" i="2"/>
  <c r="S387" i="2"/>
  <c r="S358" i="2"/>
  <c r="S376" i="2"/>
  <c r="W362" i="2"/>
  <c r="W380" i="2"/>
  <c r="W371" i="2"/>
  <c r="W389" i="2"/>
  <c r="W359" i="2"/>
  <c r="W377" i="2"/>
  <c r="W364" i="2"/>
  <c r="W382" i="2"/>
  <c r="W361" i="2"/>
  <c r="W379" i="2"/>
  <c r="S360" i="2"/>
  <c r="S378" i="2"/>
  <c r="S368" i="2"/>
  <c r="S386" i="2"/>
  <c r="W363" i="2"/>
  <c r="W381" i="2"/>
  <c r="Y361" i="2"/>
  <c r="Y379" i="2"/>
  <c r="Y368" i="2"/>
  <c r="Y386" i="2"/>
  <c r="Y364" i="2"/>
  <c r="Y382" i="2"/>
  <c r="W366" i="2"/>
  <c r="W384" i="2"/>
  <c r="F25" i="2"/>
  <c r="F228" i="2"/>
  <c r="F97" i="2"/>
  <c r="F356" i="2" s="1"/>
  <c r="F103" i="2"/>
  <c r="F362" i="2" s="1"/>
  <c r="F101" i="2"/>
  <c r="F360" i="2" s="1"/>
  <c r="F99" i="2"/>
  <c r="F358" i="2" s="1"/>
  <c r="F100" i="2"/>
  <c r="F359" i="2" s="1"/>
  <c r="F112" i="2"/>
  <c r="F371" i="2" s="1"/>
  <c r="F107" i="2"/>
  <c r="F366" i="2" s="1"/>
  <c r="F111" i="2"/>
  <c r="F370" i="2" s="1"/>
  <c r="F98" i="2"/>
  <c r="F357" i="2" s="1"/>
  <c r="F225" i="2"/>
  <c r="F223" i="2"/>
  <c r="F227" i="2"/>
  <c r="F229" i="2"/>
  <c r="F235" i="2"/>
  <c r="F237" i="2"/>
  <c r="Y298" i="2"/>
  <c r="Y316" i="2"/>
  <c r="Y308" i="2"/>
  <c r="Y326" i="2"/>
  <c r="W313" i="2"/>
  <c r="W331" i="2"/>
  <c r="W301" i="2"/>
  <c r="W319" i="2"/>
  <c r="S313" i="2"/>
  <c r="S331" i="2"/>
  <c r="V301" i="2"/>
  <c r="V319" i="2"/>
  <c r="S312" i="2"/>
  <c r="S330" i="2"/>
  <c r="W299" i="2"/>
  <c r="W317" i="2"/>
  <c r="V306" i="2"/>
  <c r="V324" i="2"/>
  <c r="W310" i="2"/>
  <c r="W328" i="2"/>
  <c r="S303" i="2"/>
  <c r="S321" i="2"/>
  <c r="V305" i="2"/>
  <c r="V323" i="2"/>
  <c r="S299" i="2"/>
  <c r="S317" i="2"/>
  <c r="Y307" i="2"/>
  <c r="Y325" i="2"/>
  <c r="Y300" i="2"/>
  <c r="Y318" i="2"/>
  <c r="Y313" i="2"/>
  <c r="Y331" i="2"/>
  <c r="Y305" i="2"/>
  <c r="Y323" i="2"/>
  <c r="S310" i="2"/>
  <c r="S328" i="2"/>
  <c r="W298" i="2"/>
  <c r="W316" i="2"/>
  <c r="W304" i="2"/>
  <c r="W322" i="2"/>
  <c r="W309" i="2"/>
  <c r="W327" i="2"/>
  <c r="V298" i="2"/>
  <c r="V316" i="2"/>
  <c r="S306" i="2"/>
  <c r="S324" i="2"/>
  <c r="S308" i="2"/>
  <c r="S326" i="2"/>
  <c r="W311" i="2"/>
  <c r="W329" i="2"/>
  <c r="V300" i="2"/>
  <c r="V318" i="2"/>
  <c r="Y310" i="2"/>
  <c r="Y328" i="2"/>
  <c r="Y306" i="2"/>
  <c r="Y324" i="2"/>
  <c r="Y303" i="2"/>
  <c r="Y321" i="2"/>
  <c r="Y302" i="2"/>
  <c r="Y320" i="2"/>
  <c r="Y304" i="2"/>
  <c r="Y322" i="2"/>
  <c r="Y312" i="2"/>
  <c r="Y330" i="2"/>
  <c r="S307" i="2"/>
  <c r="S325" i="2"/>
  <c r="S301" i="2"/>
  <c r="S319" i="2"/>
  <c r="W306" i="2"/>
  <c r="W324" i="2"/>
  <c r="W303" i="2"/>
  <c r="W321" i="2"/>
  <c r="W300" i="2"/>
  <c r="W318" i="2"/>
  <c r="S302" i="2"/>
  <c r="S320" i="2"/>
  <c r="W312" i="2"/>
  <c r="W330" i="2"/>
  <c r="W302" i="2"/>
  <c r="W320" i="2"/>
  <c r="S309" i="2"/>
  <c r="S327" i="2"/>
  <c r="W307" i="2"/>
  <c r="W325" i="2"/>
  <c r="W308" i="2"/>
  <c r="W326" i="2"/>
  <c r="V302" i="2"/>
  <c r="V320" i="2"/>
  <c r="Y309" i="2"/>
  <c r="Y327" i="2"/>
  <c r="Y301" i="2"/>
  <c r="Y319" i="2"/>
  <c r="Y299" i="2"/>
  <c r="Y317" i="2"/>
  <c r="V304" i="2"/>
  <c r="V322" i="2"/>
  <c r="S300" i="2"/>
  <c r="S318" i="2"/>
  <c r="S304" i="2"/>
  <c r="S322" i="2"/>
  <c r="S298" i="2"/>
  <c r="S316" i="2"/>
  <c r="S311" i="2"/>
  <c r="S329" i="2"/>
  <c r="V309" i="2"/>
  <c r="V327" i="2"/>
  <c r="S305" i="2"/>
  <c r="S323" i="2"/>
  <c r="V303" i="2"/>
  <c r="V321" i="2"/>
  <c r="W305" i="2"/>
  <c r="W323" i="2"/>
  <c r="V311" i="2"/>
  <c r="V329" i="2"/>
  <c r="V307" i="2"/>
  <c r="V325" i="2"/>
  <c r="Y311" i="2"/>
  <c r="Y329" i="2"/>
  <c r="F44" i="2"/>
  <c r="T82" i="2" s="1"/>
  <c r="F171" i="2"/>
  <c r="F422" i="2" s="1"/>
  <c r="F226" i="2"/>
  <c r="F224" i="2"/>
  <c r="T218" i="2"/>
  <c r="AJ419" i="1" s="1"/>
  <c r="AJ420" i="1" s="1"/>
  <c r="AJ421" i="1" s="1"/>
  <c r="F109" i="2"/>
  <c r="F368" i="2" s="1"/>
  <c r="F102" i="2"/>
  <c r="F361" i="2" s="1"/>
  <c r="T31" i="2"/>
  <c r="H203" i="1" s="1"/>
  <c r="H204" i="1" s="1"/>
  <c r="H205" i="1" s="1"/>
  <c r="H214" i="1" s="1"/>
  <c r="F163" i="2"/>
  <c r="F414" i="2" s="1"/>
  <c r="F176" i="2"/>
  <c r="F427" i="2" s="1"/>
  <c r="F36" i="2"/>
  <c r="F302" i="2" s="1"/>
  <c r="T338" i="2" s="1"/>
  <c r="F32" i="2"/>
  <c r="F298" i="2" s="1"/>
  <c r="T334" i="2" s="1"/>
  <c r="H95" i="1"/>
  <c r="H96" i="1" s="1"/>
  <c r="H97" i="1" s="1"/>
  <c r="T88" i="2"/>
  <c r="H365" i="1" s="1"/>
  <c r="H366" i="1" s="1"/>
  <c r="H367" i="1" s="1"/>
  <c r="F34" i="2"/>
  <c r="T72" i="2" s="1"/>
  <c r="F165" i="2"/>
  <c r="F416" i="2" s="1"/>
  <c r="F33" i="2"/>
  <c r="T71" i="2" s="1"/>
  <c r="F37" i="2"/>
  <c r="F303" i="2" s="1"/>
  <c r="T339" i="2" s="1"/>
  <c r="F162" i="2"/>
  <c r="F413" i="2" s="1"/>
  <c r="F38" i="2"/>
  <c r="T76" i="2" s="1"/>
  <c r="F47" i="2"/>
  <c r="T85" i="2" s="1"/>
  <c r="T69" i="2"/>
  <c r="H311" i="1" s="1"/>
  <c r="H312" i="1" s="1"/>
  <c r="H313" i="1" s="1"/>
  <c r="H322" i="1" s="1"/>
  <c r="F173" i="2"/>
  <c r="F424" i="2" s="1"/>
  <c r="F46" i="2"/>
  <c r="T84" i="2" s="1"/>
  <c r="F322" i="1" s="1"/>
  <c r="F164" i="2"/>
  <c r="F415" i="2" s="1"/>
  <c r="F35" i="2"/>
  <c r="F301" i="2" s="1"/>
  <c r="T337" i="2" s="1"/>
  <c r="F175" i="2"/>
  <c r="F426" i="2" s="1"/>
  <c r="Y234" i="2"/>
  <c r="K481" i="2"/>
  <c r="Y231" i="2"/>
  <c r="K478" i="2"/>
  <c r="Y236" i="2"/>
  <c r="AN340" i="3" s="1"/>
  <c r="K483" i="2"/>
  <c r="Y233" i="2"/>
  <c r="K480" i="2"/>
  <c r="Y232" i="2"/>
  <c r="K479" i="2"/>
  <c r="Y230" i="2"/>
  <c r="K477" i="2"/>
  <c r="Y228" i="2"/>
  <c r="AM337" i="3" s="1"/>
  <c r="K475" i="2"/>
  <c r="T222" i="2"/>
  <c r="AJ473" i="1" s="1"/>
  <c r="AJ474" i="1" s="1"/>
  <c r="AJ475" i="1" s="1"/>
  <c r="F469" i="2"/>
  <c r="Y238" i="2"/>
  <c r="K485" i="2"/>
  <c r="Y229" i="2"/>
  <c r="K476" i="2"/>
  <c r="T238" i="2"/>
  <c r="F485" i="2"/>
  <c r="Y225" i="2"/>
  <c r="K472" i="2"/>
  <c r="Y226" i="2"/>
  <c r="K473" i="2"/>
  <c r="T156" i="2"/>
  <c r="AJ149" i="1" s="1"/>
  <c r="AJ150" i="1" s="1"/>
  <c r="AJ151" i="1" s="1"/>
  <c r="F407" i="2"/>
  <c r="T407" i="2" s="1"/>
  <c r="Y237" i="2"/>
  <c r="AM340" i="3" s="1"/>
  <c r="K484" i="2"/>
  <c r="T80" i="2"/>
  <c r="F308" i="2"/>
  <c r="T344" i="2" s="1"/>
  <c r="Y227" i="2"/>
  <c r="K474" i="2"/>
  <c r="Y235" i="2"/>
  <c r="K482" i="2"/>
  <c r="T233" i="2"/>
  <c r="T50" i="2"/>
  <c r="H257" i="1" s="1"/>
  <c r="H258" i="1" s="1"/>
  <c r="H259" i="1" s="1"/>
  <c r="F297" i="2"/>
  <c r="T333" i="2" s="1"/>
  <c r="F167" i="2"/>
  <c r="F418" i="2" s="1"/>
  <c r="T92" i="2"/>
  <c r="H419" i="1" s="1"/>
  <c r="H420" i="1" s="1"/>
  <c r="H421" i="1" s="1"/>
  <c r="F161" i="2"/>
  <c r="F412" i="2" s="1"/>
  <c r="F166" i="2"/>
  <c r="F417" i="2" s="1"/>
  <c r="Y215" i="2"/>
  <c r="AN266" i="3" s="1"/>
  <c r="Y219" i="2"/>
  <c r="AN303" i="3" s="1"/>
  <c r="Y29" i="2"/>
  <c r="K295" i="2"/>
  <c r="Y295" i="2" s="1"/>
  <c r="T178" i="2"/>
  <c r="AJ257" i="1" s="1"/>
  <c r="T27" i="2"/>
  <c r="H149" i="1" s="1"/>
  <c r="H150" i="1" s="1"/>
  <c r="H151" i="1" s="1"/>
  <c r="F293" i="2"/>
  <c r="T293" i="2" s="1"/>
  <c r="T196" i="2"/>
  <c r="AJ311" i="1" s="1"/>
  <c r="AJ312" i="1" s="1"/>
  <c r="AJ313" i="1" s="1"/>
  <c r="Y216" i="2"/>
  <c r="Y220" i="2"/>
  <c r="T160" i="2"/>
  <c r="AJ203" i="1" s="1"/>
  <c r="AJ204" i="1" s="1"/>
  <c r="AJ205" i="1" s="1"/>
  <c r="T115" i="2"/>
  <c r="H527" i="1" s="1"/>
  <c r="H528" i="1" s="1"/>
  <c r="H529" i="1" s="1"/>
  <c r="F355" i="2"/>
  <c r="Y174" i="2"/>
  <c r="AN155" i="3" s="1"/>
  <c r="Y210" i="2"/>
  <c r="AN229" i="3" s="1"/>
  <c r="Y192" i="2"/>
  <c r="AN192" i="3" s="1"/>
  <c r="Y162" i="2"/>
  <c r="Y180" i="2"/>
  <c r="Y198" i="2"/>
  <c r="Y172" i="2"/>
  <c r="Y208" i="2"/>
  <c r="Y190" i="2"/>
  <c r="Y166" i="2"/>
  <c r="AM152" i="3" s="1"/>
  <c r="Y202" i="2"/>
  <c r="AM226" i="3" s="1"/>
  <c r="Y184" i="2"/>
  <c r="AM189" i="3" s="1"/>
  <c r="Y175" i="2"/>
  <c r="AM155" i="3" s="1"/>
  <c r="Y211" i="2"/>
  <c r="AM229" i="3" s="1"/>
  <c r="Y193" i="2"/>
  <c r="AM192" i="3" s="1"/>
  <c r="Y171" i="2"/>
  <c r="Y189" i="2"/>
  <c r="Y207" i="2"/>
  <c r="Y157" i="2"/>
  <c r="AN118" i="3" s="1"/>
  <c r="Y170" i="2"/>
  <c r="Y188" i="2"/>
  <c r="Y206" i="2"/>
  <c r="Y163" i="2"/>
  <c r="Y181" i="2"/>
  <c r="Y199" i="2"/>
  <c r="Y169" i="2"/>
  <c r="Y187" i="2"/>
  <c r="Y205" i="2"/>
  <c r="Y164" i="2"/>
  <c r="Y182" i="2"/>
  <c r="Y200" i="2"/>
  <c r="Y173" i="2"/>
  <c r="Y209" i="2"/>
  <c r="Y191" i="2"/>
  <c r="Y168" i="2"/>
  <c r="Y204" i="2"/>
  <c r="Y186" i="2"/>
  <c r="Y167" i="2"/>
  <c r="Y203" i="2"/>
  <c r="Y185" i="2"/>
  <c r="Y161" i="2"/>
  <c r="Y197" i="2"/>
  <c r="Y179" i="2"/>
  <c r="Y165" i="2"/>
  <c r="Y201" i="2"/>
  <c r="Y183" i="2"/>
  <c r="T157" i="2"/>
  <c r="Y176" i="2"/>
  <c r="Y212" i="2"/>
  <c r="Y194" i="2"/>
  <c r="Y158" i="2"/>
  <c r="F473" i="1"/>
  <c r="F474" i="1" s="1"/>
  <c r="F419" i="1"/>
  <c r="F420" i="1" s="1"/>
  <c r="F421" i="1" s="1"/>
  <c r="AB120" i="3"/>
  <c r="AA113" i="3"/>
  <c r="H54" i="1"/>
  <c r="AB305" i="3"/>
  <c r="F527" i="1"/>
  <c r="F149" i="1"/>
  <c r="AA298" i="3"/>
  <c r="Y89" i="2"/>
  <c r="AB266" i="3" s="1"/>
  <c r="Y93" i="2"/>
  <c r="AB303" i="3" s="1"/>
  <c r="F257" i="1"/>
  <c r="F45" i="1"/>
  <c r="S45" i="1" s="1"/>
  <c r="F50" i="1"/>
  <c r="G50" i="1"/>
  <c r="F203" i="1"/>
  <c r="F311" i="1"/>
  <c r="F370" i="1"/>
  <c r="S370" i="1" s="1"/>
  <c r="F424" i="1"/>
  <c r="S424" i="1" s="1"/>
  <c r="F478" i="1"/>
  <c r="S478" i="1" s="1"/>
  <c r="G51" i="1"/>
  <c r="F532" i="1"/>
  <c r="S532" i="1" s="1"/>
  <c r="F160" i="1"/>
  <c r="F155" i="1"/>
  <c r="F46" i="1"/>
  <c r="S46" i="1" s="1"/>
  <c r="F430" i="1"/>
  <c r="F371" i="1"/>
  <c r="F316" i="1"/>
  <c r="S316" i="1" s="1"/>
  <c r="F100" i="1"/>
  <c r="S100" i="1" s="1"/>
  <c r="F51" i="1"/>
  <c r="G483" i="1"/>
  <c r="G429" i="1"/>
  <c r="F375" i="1"/>
  <c r="F483" i="1"/>
  <c r="F262" i="1"/>
  <c r="S262" i="1" s="1"/>
  <c r="G213" i="1"/>
  <c r="F537" i="1"/>
  <c r="G105" i="1"/>
  <c r="F213" i="1"/>
  <c r="F429" i="1"/>
  <c r="F101" i="1"/>
  <c r="F154" i="1"/>
  <c r="S154" i="1" s="1"/>
  <c r="F425" i="1"/>
  <c r="F208" i="1"/>
  <c r="S208" i="1" s="1"/>
  <c r="F376" i="1"/>
  <c r="G375" i="1"/>
  <c r="F321" i="1"/>
  <c r="F267" i="1"/>
  <c r="F105" i="1"/>
  <c r="F52" i="1"/>
  <c r="G267" i="1"/>
  <c r="G537" i="1"/>
  <c r="G321" i="1"/>
  <c r="F106" i="1"/>
  <c r="F159" i="1"/>
  <c r="F47" i="1"/>
  <c r="G159" i="1"/>
  <c r="AB300" i="3"/>
  <c r="AA300" i="3"/>
  <c r="AB301" i="3"/>
  <c r="AA115" i="3"/>
  <c r="AA301" i="3"/>
  <c r="AB116" i="3"/>
  <c r="AB119" i="3"/>
  <c r="AA303" i="3"/>
  <c r="AA119" i="3"/>
  <c r="AB304" i="3"/>
  <c r="AA304" i="3"/>
  <c r="AA118" i="3"/>
  <c r="AA116" i="3"/>
  <c r="AB115" i="3"/>
  <c r="H473" i="1"/>
  <c r="Y90" i="2"/>
  <c r="Y94" i="2"/>
  <c r="F365" i="1"/>
  <c r="F95" i="1"/>
  <c r="T28" i="2"/>
  <c r="AB81" i="3"/>
  <c r="Y28" i="2"/>
  <c r="AB118" i="3" s="1"/>
  <c r="AA187" i="3"/>
  <c r="AA263" i="3"/>
  <c r="AB83" i="3"/>
  <c r="AA267" i="3"/>
  <c r="Y55" i="2"/>
  <c r="Y74" i="2"/>
  <c r="Y36" i="2"/>
  <c r="Y129" i="2"/>
  <c r="AB377" i="3" s="1"/>
  <c r="Y110" i="2"/>
  <c r="Y52" i="2"/>
  <c r="Y71" i="2"/>
  <c r="Y33" i="2"/>
  <c r="AA378" i="3"/>
  <c r="AA261" i="3"/>
  <c r="AA335" i="3"/>
  <c r="Y127" i="2"/>
  <c r="Y108" i="2"/>
  <c r="Y121" i="2"/>
  <c r="AA374" i="3" s="1"/>
  <c r="Y102" i="2"/>
  <c r="AA337" i="3" s="1"/>
  <c r="Y111" i="2"/>
  <c r="AA340" i="3" s="1"/>
  <c r="Y130" i="2"/>
  <c r="AA377" i="3" s="1"/>
  <c r="Y64" i="2"/>
  <c r="AB192" i="3" s="1"/>
  <c r="Y45" i="2"/>
  <c r="AB155" i="3" s="1"/>
  <c r="Y83" i="2"/>
  <c r="AB229" i="3" s="1"/>
  <c r="AB340" i="3"/>
  <c r="AB341" i="3"/>
  <c r="AA227" i="3"/>
  <c r="AB342" i="3"/>
  <c r="AB157" i="3"/>
  <c r="Y125" i="2"/>
  <c r="Y106" i="2"/>
  <c r="Y109" i="2"/>
  <c r="Y128" i="2"/>
  <c r="Y70" i="2"/>
  <c r="Y51" i="2"/>
  <c r="Y32" i="2"/>
  <c r="Y42" i="2"/>
  <c r="Y80" i="2"/>
  <c r="Y61" i="2"/>
  <c r="Y101" i="2"/>
  <c r="Y120" i="2"/>
  <c r="Y119" i="2"/>
  <c r="Y100" i="2"/>
  <c r="AB227" i="3"/>
  <c r="AB264" i="3"/>
  <c r="AA372" i="3"/>
  <c r="AA224" i="3"/>
  <c r="Y54" i="2"/>
  <c r="Y73" i="2"/>
  <c r="Y35" i="2"/>
  <c r="AB375" i="3"/>
  <c r="Y126" i="2"/>
  <c r="Y107" i="2"/>
  <c r="Y60" i="2"/>
  <c r="Y41" i="2"/>
  <c r="Y79" i="2"/>
  <c r="AB190" i="3"/>
  <c r="AB194" i="3"/>
  <c r="Y104" i="2"/>
  <c r="Y123" i="2"/>
  <c r="Y34" i="2"/>
  <c r="Y72" i="2"/>
  <c r="Y53" i="2"/>
  <c r="Y66" i="2"/>
  <c r="Y47" i="2"/>
  <c r="Y85" i="2"/>
  <c r="Y77" i="2"/>
  <c r="Y58" i="2"/>
  <c r="Y39" i="2"/>
  <c r="AB378" i="3"/>
  <c r="AA230" i="3"/>
  <c r="AB338" i="3"/>
  <c r="Y112" i="2"/>
  <c r="Y131" i="2"/>
  <c r="AB268" i="3"/>
  <c r="Y62" i="2"/>
  <c r="Y81" i="2"/>
  <c r="Y43" i="2"/>
  <c r="AA338" i="3"/>
  <c r="Y124" i="2"/>
  <c r="Y105" i="2"/>
  <c r="Y122" i="2"/>
  <c r="Y103" i="2"/>
  <c r="Y82" i="2"/>
  <c r="Y63" i="2"/>
  <c r="Y44" i="2"/>
  <c r="Y78" i="2"/>
  <c r="Y40" i="2"/>
  <c r="Y59" i="2"/>
  <c r="Y75" i="2"/>
  <c r="AA226" i="3" s="1"/>
  <c r="Y56" i="2"/>
  <c r="AA189" i="3" s="1"/>
  <c r="Y37" i="2"/>
  <c r="AA152" i="3" s="1"/>
  <c r="AB226" i="3"/>
  <c r="AB231" i="3"/>
  <c r="Y99" i="2"/>
  <c r="Y118" i="2"/>
  <c r="Y38" i="2"/>
  <c r="Y76" i="2"/>
  <c r="Y57" i="2"/>
  <c r="Y84" i="2"/>
  <c r="AA229" i="3" s="1"/>
  <c r="Y65" i="2"/>
  <c r="AA192" i="3" s="1"/>
  <c r="Y46" i="2"/>
  <c r="AA155" i="3" s="1"/>
  <c r="AB337" i="3"/>
  <c r="AB193" i="3"/>
  <c r="AB379" i="3"/>
  <c r="AA193" i="3"/>
  <c r="AA190" i="3"/>
  <c r="AA264" i="3"/>
  <c r="AB267" i="3"/>
  <c r="AB230" i="3"/>
  <c r="AA375" i="3"/>
  <c r="AB374" i="3"/>
  <c r="AA341" i="3"/>
  <c r="AA266" i="3"/>
  <c r="AB263" i="3"/>
  <c r="AB189" i="3"/>
  <c r="AA76" i="3"/>
  <c r="AA150" i="3"/>
  <c r="AB156" i="3"/>
  <c r="AA42" i="3"/>
  <c r="AA78" i="3"/>
  <c r="AA79" i="3"/>
  <c r="AA153" i="3"/>
  <c r="AB152" i="3"/>
  <c r="AB153" i="3"/>
  <c r="AA156" i="3"/>
  <c r="AB42" i="3"/>
  <c r="AB78" i="3"/>
  <c r="AA81" i="3"/>
  <c r="AB45" i="3"/>
  <c r="AA45" i="3"/>
  <c r="AB79" i="3"/>
  <c r="AB44" i="3"/>
  <c r="AA44" i="3"/>
  <c r="AB82" i="3"/>
  <c r="AA82" i="3"/>
  <c r="AB41" i="3"/>
  <c r="AA41" i="3"/>
  <c r="T102" i="2"/>
  <c r="F479" i="1" s="1"/>
  <c r="T42" i="2"/>
  <c r="T61" i="2"/>
  <c r="T63" i="2"/>
  <c r="E23" i="11"/>
  <c r="AU267" i="1" l="1"/>
  <c r="AH320" i="1"/>
  <c r="AU320" i="1" s="1"/>
  <c r="AH315" i="1"/>
  <c r="AU315" i="1" s="1"/>
  <c r="AU537" i="1"/>
  <c r="AU213" i="1"/>
  <c r="AJ371" i="1"/>
  <c r="AJ378" i="1" s="1"/>
  <c r="AU105" i="1"/>
  <c r="AU429" i="1"/>
  <c r="S429" i="1"/>
  <c r="AH108" i="1"/>
  <c r="AU483" i="1"/>
  <c r="AU159" i="1"/>
  <c r="AJ430" i="1"/>
  <c r="AJ425" i="1"/>
  <c r="AJ155" i="1"/>
  <c r="AJ160" i="1"/>
  <c r="AJ258" i="1"/>
  <c r="AJ259" i="1" s="1"/>
  <c r="AJ484" i="1"/>
  <c r="AJ479" i="1"/>
  <c r="AJ209" i="1"/>
  <c r="AJ214" i="1"/>
  <c r="AJ317" i="1"/>
  <c r="AJ322" i="1"/>
  <c r="AH528" i="1"/>
  <c r="AH529" i="1" s="1"/>
  <c r="T237" i="2"/>
  <c r="AH484" i="1" s="1"/>
  <c r="T255" i="2"/>
  <c r="AH538" i="1" s="1"/>
  <c r="T29" i="2"/>
  <c r="T25" i="2"/>
  <c r="T118" i="2"/>
  <c r="T235" i="2"/>
  <c r="T253" i="2"/>
  <c r="AH477" i="1"/>
  <c r="AU477" i="1" s="1"/>
  <c r="AI482" i="1"/>
  <c r="AH482" i="1"/>
  <c r="T99" i="2"/>
  <c r="T229" i="2"/>
  <c r="T247" i="2"/>
  <c r="AH374" i="1"/>
  <c r="AH369" i="1"/>
  <c r="AU369" i="1" s="1"/>
  <c r="AI374" i="1"/>
  <c r="AH153" i="1"/>
  <c r="AU153" i="1" s="1"/>
  <c r="AI158" i="1"/>
  <c r="AH158" i="1"/>
  <c r="AH204" i="1"/>
  <c r="AH205" i="1" s="1"/>
  <c r="T227" i="2"/>
  <c r="T245" i="2"/>
  <c r="F409" i="2"/>
  <c r="T409" i="2" s="1"/>
  <c r="T154" i="2"/>
  <c r="F470" i="2"/>
  <c r="T488" i="2" s="1"/>
  <c r="T241" i="2"/>
  <c r="F480" i="2"/>
  <c r="T498" i="2" s="1"/>
  <c r="T251" i="2"/>
  <c r="AU375" i="1"/>
  <c r="T225" i="2"/>
  <c r="T243" i="2"/>
  <c r="AH378" i="1"/>
  <c r="F294" i="2"/>
  <c r="T294" i="2" s="1"/>
  <c r="T24" i="2"/>
  <c r="AH428" i="1"/>
  <c r="AI428" i="1"/>
  <c r="AH423" i="1"/>
  <c r="AU423" i="1" s="1"/>
  <c r="AU321" i="1"/>
  <c r="AH162" i="1"/>
  <c r="AJ106" i="1"/>
  <c r="AJ101" i="1"/>
  <c r="AJ538" i="1"/>
  <c r="AJ533" i="1"/>
  <c r="AH50" i="1"/>
  <c r="AH45" i="1"/>
  <c r="AU45" i="1" s="1"/>
  <c r="AI50" i="1"/>
  <c r="F471" i="2"/>
  <c r="T471" i="2" s="1"/>
  <c r="T242" i="2"/>
  <c r="T226" i="2"/>
  <c r="T244" i="2"/>
  <c r="F475" i="2"/>
  <c r="T475" i="2" s="1"/>
  <c r="T246" i="2"/>
  <c r="AH533" i="1" s="1"/>
  <c r="AI266" i="1"/>
  <c r="AH266" i="1"/>
  <c r="AH261" i="1"/>
  <c r="AU261" i="1" s="1"/>
  <c r="AJ52" i="1"/>
  <c r="AJ47" i="1"/>
  <c r="AI104" i="1"/>
  <c r="AH104" i="1"/>
  <c r="AH99" i="1"/>
  <c r="AU99" i="1" s="1"/>
  <c r="S321" i="1"/>
  <c r="S105" i="1"/>
  <c r="AM231" i="3"/>
  <c r="AM305" i="3"/>
  <c r="AM46" i="3"/>
  <c r="AM379" i="3"/>
  <c r="AM194" i="3"/>
  <c r="AM157" i="3"/>
  <c r="AM342" i="3"/>
  <c r="AM83" i="3"/>
  <c r="AM268" i="3"/>
  <c r="AM120" i="3"/>
  <c r="S213" i="1"/>
  <c r="S159" i="1"/>
  <c r="S51" i="1"/>
  <c r="S537" i="1"/>
  <c r="S375" i="1"/>
  <c r="S267" i="1"/>
  <c r="S483" i="1"/>
  <c r="S50" i="1"/>
  <c r="T119" i="2"/>
  <c r="Y482" i="2"/>
  <c r="Y500" i="2"/>
  <c r="Y494" i="2"/>
  <c r="Y476" i="2"/>
  <c r="Y495" i="2"/>
  <c r="Y477" i="2"/>
  <c r="Y496" i="2"/>
  <c r="Y478" i="2"/>
  <c r="T100" i="2"/>
  <c r="Y492" i="2"/>
  <c r="Y474" i="2"/>
  <c r="Y473" i="2"/>
  <c r="Y491" i="2"/>
  <c r="Y485" i="2"/>
  <c r="Y503" i="2"/>
  <c r="Y497" i="2"/>
  <c r="Y479" i="2"/>
  <c r="Y481" i="2"/>
  <c r="Y499" i="2"/>
  <c r="Y472" i="2"/>
  <c r="Y490" i="2"/>
  <c r="T469" i="2"/>
  <c r="T487" i="2"/>
  <c r="Y480" i="2"/>
  <c r="Y498" i="2"/>
  <c r="T480" i="2"/>
  <c r="Y484" i="2"/>
  <c r="Y502" i="2"/>
  <c r="T503" i="2"/>
  <c r="T485" i="2"/>
  <c r="Y493" i="2"/>
  <c r="Y475" i="2"/>
  <c r="Y483" i="2"/>
  <c r="Y501" i="2"/>
  <c r="T415" i="2"/>
  <c r="T451" i="2"/>
  <c r="T433" i="2"/>
  <c r="T414" i="2"/>
  <c r="T450" i="2"/>
  <c r="T432" i="2"/>
  <c r="T416" i="2"/>
  <c r="T452" i="2"/>
  <c r="T434" i="2"/>
  <c r="T417" i="2"/>
  <c r="T453" i="2"/>
  <c r="T435" i="2"/>
  <c r="T424" i="2"/>
  <c r="T460" i="2"/>
  <c r="T442" i="2"/>
  <c r="T412" i="2"/>
  <c r="T448" i="2"/>
  <c r="T430" i="2"/>
  <c r="T427" i="2"/>
  <c r="T463" i="2"/>
  <c r="T445" i="2"/>
  <c r="T422" i="2"/>
  <c r="T440" i="2"/>
  <c r="T458" i="2"/>
  <c r="T418" i="2"/>
  <c r="T454" i="2"/>
  <c r="T436" i="2"/>
  <c r="T426" i="2"/>
  <c r="T462" i="2"/>
  <c r="T444" i="2"/>
  <c r="T413" i="2"/>
  <c r="T449" i="2"/>
  <c r="T431" i="2"/>
  <c r="T122" i="2"/>
  <c r="T109" i="2"/>
  <c r="T103" i="2"/>
  <c r="F295" i="2"/>
  <c r="T295" i="2" s="1"/>
  <c r="T117" i="2"/>
  <c r="T228" i="2"/>
  <c r="AH479" i="1" s="1"/>
  <c r="T116" i="2"/>
  <c r="T98" i="2"/>
  <c r="T97" i="2"/>
  <c r="F472" i="2"/>
  <c r="T66" i="2"/>
  <c r="T47" i="2"/>
  <c r="T101" i="2"/>
  <c r="T368" i="2"/>
  <c r="T386" i="2"/>
  <c r="T360" i="2"/>
  <c r="T378" i="2"/>
  <c r="T128" i="2"/>
  <c r="T120" i="2"/>
  <c r="T362" i="2"/>
  <c r="T380" i="2"/>
  <c r="T355" i="2"/>
  <c r="T373" i="2"/>
  <c r="T357" i="2"/>
  <c r="T375" i="2"/>
  <c r="T356" i="2"/>
  <c r="T374" i="2"/>
  <c r="F474" i="2"/>
  <c r="T370" i="2"/>
  <c r="T388" i="2"/>
  <c r="T158" i="2"/>
  <c r="T366" i="2"/>
  <c r="T384" i="2"/>
  <c r="T223" i="2"/>
  <c r="T371" i="2"/>
  <c r="T389" i="2"/>
  <c r="T359" i="2"/>
  <c r="T377" i="2"/>
  <c r="T361" i="2"/>
  <c r="T379" i="2"/>
  <c r="T358" i="2"/>
  <c r="T376" i="2"/>
  <c r="F476" i="2"/>
  <c r="T44" i="2"/>
  <c r="F482" i="2"/>
  <c r="T130" i="2"/>
  <c r="F538" i="1" s="1"/>
  <c r="T55" i="2"/>
  <c r="T36" i="2"/>
  <c r="T131" i="2"/>
  <c r="T111" i="2"/>
  <c r="F484" i="1" s="1"/>
  <c r="F486" i="1" s="1"/>
  <c r="T33" i="2"/>
  <c r="T112" i="2"/>
  <c r="T126" i="2"/>
  <c r="T107" i="2"/>
  <c r="T51" i="2"/>
  <c r="T32" i="2"/>
  <c r="T224" i="2"/>
  <c r="F484" i="2"/>
  <c r="T57" i="2"/>
  <c r="T38" i="2"/>
  <c r="T35" i="2"/>
  <c r="T301" i="2"/>
  <c r="T319" i="2"/>
  <c r="T303" i="2"/>
  <c r="T321" i="2"/>
  <c r="T56" i="2"/>
  <c r="F263" i="1" s="1"/>
  <c r="T308" i="2"/>
  <c r="T326" i="2"/>
  <c r="F473" i="2"/>
  <c r="T207" i="2"/>
  <c r="T298" i="2"/>
  <c r="T316" i="2"/>
  <c r="T171" i="2"/>
  <c r="T297" i="2"/>
  <c r="T315" i="2"/>
  <c r="T302" i="2"/>
  <c r="T320" i="2"/>
  <c r="F310" i="2"/>
  <c r="T346" i="2" s="1"/>
  <c r="F304" i="2"/>
  <c r="T340" i="2" s="1"/>
  <c r="T54" i="2"/>
  <c r="T37" i="2"/>
  <c r="F209" i="1" s="1"/>
  <c r="T189" i="2"/>
  <c r="T75" i="2"/>
  <c r="F317" i="1" s="1"/>
  <c r="F324" i="1" s="1"/>
  <c r="T200" i="2"/>
  <c r="T203" i="2"/>
  <c r="T181" i="2"/>
  <c r="T164" i="2"/>
  <c r="T167" i="2"/>
  <c r="T163" i="2"/>
  <c r="T121" i="2"/>
  <c r="F533" i="1" s="1"/>
  <c r="T53" i="2"/>
  <c r="T34" i="2"/>
  <c r="T52" i="2"/>
  <c r="T70" i="2"/>
  <c r="T175" i="2"/>
  <c r="AH214" i="1" s="1"/>
  <c r="T73" i="2"/>
  <c r="T209" i="2"/>
  <c r="T162" i="2"/>
  <c r="T185" i="2"/>
  <c r="T74" i="2"/>
  <c r="T194" i="2"/>
  <c r="T212" i="2"/>
  <c r="T176" i="2"/>
  <c r="T173" i="2"/>
  <c r="T211" i="2"/>
  <c r="AH322" i="1" s="1"/>
  <c r="T180" i="2"/>
  <c r="T198" i="2"/>
  <c r="T193" i="2"/>
  <c r="AH268" i="1" s="1"/>
  <c r="T182" i="2"/>
  <c r="T199" i="2"/>
  <c r="F313" i="2"/>
  <c r="T349" i="2" s="1"/>
  <c r="F299" i="2"/>
  <c r="T335" i="2" s="1"/>
  <c r="T179" i="2"/>
  <c r="T65" i="2"/>
  <c r="F268" i="1" s="1"/>
  <c r="T197" i="2"/>
  <c r="T161" i="2"/>
  <c r="T46" i="2"/>
  <c r="F214" i="1" s="1"/>
  <c r="F312" i="2"/>
  <c r="T348" i="2" s="1"/>
  <c r="T183" i="2"/>
  <c r="T201" i="2"/>
  <c r="F300" i="2"/>
  <c r="T336" i="2" s="1"/>
  <c r="T165" i="2"/>
  <c r="T202" i="2"/>
  <c r="AH317" i="1" s="1"/>
  <c r="T191" i="2"/>
  <c r="T184" i="2"/>
  <c r="AH263" i="1" s="1"/>
  <c r="T166" i="2"/>
  <c r="AH209" i="1" s="1"/>
  <c r="H317" i="1"/>
  <c r="H324" i="1" s="1"/>
  <c r="H209" i="1"/>
  <c r="H216" i="1" s="1"/>
  <c r="F475" i="1"/>
  <c r="G482" i="1" s="1"/>
  <c r="F54" i="1"/>
  <c r="AA120" i="3"/>
  <c r="H263" i="1"/>
  <c r="H268" i="1"/>
  <c r="H474" i="1"/>
  <c r="H475" i="1" s="1"/>
  <c r="H371" i="1"/>
  <c r="H376" i="1"/>
  <c r="H101" i="1"/>
  <c r="H106" i="1"/>
  <c r="AA305" i="3"/>
  <c r="H538" i="1"/>
  <c r="H533" i="1"/>
  <c r="H160" i="1"/>
  <c r="H155" i="1"/>
  <c r="F378" i="1"/>
  <c r="F312" i="1"/>
  <c r="F258" i="1"/>
  <c r="F259" i="1" s="1"/>
  <c r="F96" i="1"/>
  <c r="F97" i="1" s="1"/>
  <c r="F204" i="1"/>
  <c r="F205" i="1" s="1"/>
  <c r="F150" i="1"/>
  <c r="F151" i="1" s="1"/>
  <c r="F366" i="1"/>
  <c r="F367" i="1" s="1"/>
  <c r="F432" i="1"/>
  <c r="G428" i="1"/>
  <c r="F428" i="1"/>
  <c r="F423" i="1"/>
  <c r="S423" i="1" s="1"/>
  <c r="F528" i="1"/>
  <c r="F529" i="1" s="1"/>
  <c r="F162" i="1"/>
  <c r="H425" i="1"/>
  <c r="H430" i="1"/>
  <c r="F108" i="1"/>
  <c r="AA231" i="3"/>
  <c r="AA342" i="3"/>
  <c r="AA379" i="3"/>
  <c r="AA268" i="3"/>
  <c r="AA194" i="3"/>
  <c r="AA157" i="3"/>
  <c r="AA83" i="3"/>
  <c r="AA46" i="3"/>
  <c r="AH216" i="1" l="1"/>
  <c r="T493" i="2"/>
  <c r="T489" i="2"/>
  <c r="AH270" i="1"/>
  <c r="AJ162" i="1"/>
  <c r="AJ324" i="1"/>
  <c r="AJ486" i="1"/>
  <c r="AU104" i="1"/>
  <c r="AJ540" i="1"/>
  <c r="AJ432" i="1"/>
  <c r="AU482" i="1"/>
  <c r="AU50" i="1"/>
  <c r="AI536" i="1"/>
  <c r="AH536" i="1"/>
  <c r="AH531" i="1"/>
  <c r="AU531" i="1" s="1"/>
  <c r="AH486" i="1"/>
  <c r="AH324" i="1"/>
  <c r="AU266" i="1"/>
  <c r="AJ268" i="1"/>
  <c r="AJ263" i="1"/>
  <c r="T470" i="2"/>
  <c r="AH540" i="1"/>
  <c r="AU374" i="1"/>
  <c r="AU428" i="1"/>
  <c r="AI212" i="1"/>
  <c r="AH212" i="1"/>
  <c r="AH207" i="1"/>
  <c r="AU207" i="1" s="1"/>
  <c r="AJ54" i="1"/>
  <c r="AJ108" i="1"/>
  <c r="AU158" i="1"/>
  <c r="AJ216" i="1"/>
  <c r="S428" i="1"/>
  <c r="T476" i="2"/>
  <c r="T494" i="2"/>
  <c r="T474" i="2"/>
  <c r="T492" i="2"/>
  <c r="T502" i="2"/>
  <c r="T484" i="2"/>
  <c r="T472" i="2"/>
  <c r="T490" i="2"/>
  <c r="T473" i="2"/>
  <c r="T491" i="2"/>
  <c r="T500" i="2"/>
  <c r="T482" i="2"/>
  <c r="F540" i="1"/>
  <c r="F270" i="1"/>
  <c r="F216" i="1"/>
  <c r="T300" i="2"/>
  <c r="T318" i="2"/>
  <c r="T299" i="2"/>
  <c r="T317" i="2"/>
  <c r="T313" i="2"/>
  <c r="T331" i="2"/>
  <c r="T304" i="2"/>
  <c r="T322" i="2"/>
  <c r="T312" i="2"/>
  <c r="T330" i="2"/>
  <c r="T310" i="2"/>
  <c r="T328" i="2"/>
  <c r="F477" i="1"/>
  <c r="S477" i="1" s="1"/>
  <c r="F482" i="1"/>
  <c r="S482" i="1" s="1"/>
  <c r="H162" i="1"/>
  <c r="F99" i="1"/>
  <c r="S99" i="1" s="1"/>
  <c r="F104" i="1"/>
  <c r="G104" i="1"/>
  <c r="G158" i="1"/>
  <c r="F153" i="1"/>
  <c r="S153" i="1" s="1"/>
  <c r="F158" i="1"/>
  <c r="G536" i="1"/>
  <c r="F536" i="1"/>
  <c r="F531" i="1"/>
  <c r="S531" i="1" s="1"/>
  <c r="G374" i="1"/>
  <c r="F374" i="1"/>
  <c r="F369" i="1"/>
  <c r="S369" i="1" s="1"/>
  <c r="F266" i="1"/>
  <c r="G266" i="1"/>
  <c r="F261" i="1"/>
  <c r="S261" i="1" s="1"/>
  <c r="H108" i="1"/>
  <c r="H270" i="1"/>
  <c r="H479" i="1"/>
  <c r="H484" i="1"/>
  <c r="H432" i="1"/>
  <c r="F212" i="1"/>
  <c r="F207" i="1"/>
  <c r="S207" i="1" s="1"/>
  <c r="G212" i="1"/>
  <c r="F313" i="1"/>
  <c r="H540" i="1"/>
  <c r="H378" i="1"/>
  <c r="F23" i="11"/>
  <c r="E16" i="11"/>
  <c r="E15" i="11"/>
  <c r="E14" i="11"/>
  <c r="E13" i="11"/>
  <c r="E12" i="11"/>
  <c r="E4" i="11"/>
  <c r="AU212" i="1" l="1"/>
  <c r="AJ270" i="1"/>
  <c r="AU536" i="1"/>
  <c r="S104" i="1"/>
  <c r="S536" i="1"/>
  <c r="S266" i="1"/>
  <c r="S374" i="1"/>
  <c r="S212" i="1"/>
  <c r="S158" i="1"/>
  <c r="F315" i="1"/>
  <c r="S315" i="1" s="1"/>
  <c r="G320" i="1"/>
  <c r="F320" i="1"/>
  <c r="H486" i="1"/>
  <c r="S320" i="1" l="1"/>
  <c r="D14" i="11" l="1"/>
  <c r="D6" i="11"/>
  <c r="D13" i="11"/>
  <c r="D17" i="11"/>
  <c r="D4" i="11"/>
  <c r="D16" i="11"/>
  <c r="D9" i="11"/>
  <c r="D5" i="11"/>
  <c r="D15" i="11"/>
  <c r="D8" i="11"/>
  <c r="B2" i="3" l="1" a="1"/>
  <c r="E2" i="1" a="1"/>
  <c r="G16" i="1" s="1"/>
  <c r="E2" i="1" l="1"/>
  <c r="U24" i="1"/>
  <c r="W25" i="1"/>
  <c r="J24" i="1"/>
  <c r="R12" i="1"/>
  <c r="S28" i="1"/>
  <c r="L24" i="1"/>
  <c r="J19" i="1"/>
  <c r="U13" i="1"/>
  <c r="T2" i="1"/>
  <c r="M7" i="1"/>
  <c r="N27" i="1"/>
  <c r="V22" i="1"/>
  <c r="U17" i="1"/>
  <c r="J20" i="1"/>
  <c r="J30" i="1"/>
  <c r="X25" i="1"/>
  <c r="G21" i="1"/>
  <c r="X15" i="1"/>
  <c r="S8" i="1"/>
  <c r="H7" i="1"/>
  <c r="N29" i="1"/>
  <c r="H25" i="1"/>
  <c r="I20" i="1"/>
  <c r="T14" i="1"/>
  <c r="T6" i="1"/>
  <c r="I27" i="1"/>
  <c r="R22" i="1"/>
  <c r="O17" i="1"/>
  <c r="J10" i="1"/>
  <c r="E29" i="1"/>
  <c r="K18" i="1"/>
  <c r="L30" i="1"/>
  <c r="F25" i="1"/>
  <c r="M19" i="1"/>
  <c r="V13" i="1"/>
  <c r="H3" i="1"/>
  <c r="G3" i="1"/>
  <c r="V5" i="1"/>
  <c r="R2" i="1"/>
  <c r="E5" i="1"/>
  <c r="P30" i="1"/>
  <c r="L27" i="1"/>
  <c r="H24" i="1"/>
  <c r="X20" i="1"/>
  <c r="T17" i="1"/>
  <c r="P14" i="1"/>
  <c r="L11" i="1"/>
  <c r="H8" i="1"/>
  <c r="X4" i="1"/>
  <c r="I12" i="1"/>
  <c r="E9" i="1"/>
  <c r="K29" i="1"/>
  <c r="G26" i="1"/>
  <c r="W22" i="1"/>
  <c r="S19" i="1"/>
  <c r="O16" i="1"/>
  <c r="O12" i="1"/>
  <c r="K9" i="1"/>
  <c r="K5" i="1"/>
  <c r="R15" i="1"/>
  <c r="N12" i="1"/>
  <c r="J9" i="1"/>
  <c r="F6" i="1"/>
  <c r="V2" i="1"/>
  <c r="M22" i="1"/>
  <c r="I19" i="1"/>
  <c r="E16" i="1"/>
  <c r="U12" i="1"/>
  <c r="Q9" i="1"/>
  <c r="M6" i="1"/>
  <c r="I3" i="1"/>
  <c r="U19" i="1"/>
  <c r="F21" i="1"/>
  <c r="G19" i="1"/>
  <c r="T28" i="1"/>
  <c r="I28" i="1"/>
  <c r="U23" i="1"/>
  <c r="R18" i="1"/>
  <c r="E13" i="1"/>
  <c r="K14" i="1"/>
  <c r="H5" i="1"/>
  <c r="V26" i="1"/>
  <c r="J22" i="1"/>
  <c r="N13" i="1"/>
  <c r="E19" i="1"/>
  <c r="R29" i="1"/>
  <c r="N25" i="1"/>
  <c r="N20" i="1"/>
  <c r="H15" i="1"/>
  <c r="O7" i="1"/>
  <c r="T4" i="1"/>
  <c r="V28" i="1"/>
  <c r="R24" i="1"/>
  <c r="O19" i="1"/>
  <c r="X13" i="1"/>
  <c r="X3" i="1"/>
  <c r="S26" i="1"/>
  <c r="X21" i="1"/>
  <c r="V16" i="1"/>
  <c r="X7" i="1"/>
  <c r="U26" i="1"/>
  <c r="L16" i="1"/>
  <c r="V29" i="1"/>
  <c r="V23" i="1"/>
  <c r="S18" i="1"/>
  <c r="F13" i="1"/>
  <c r="K6" i="1"/>
  <c r="S2" i="1"/>
  <c r="N5" i="1"/>
  <c r="J2" i="1"/>
  <c r="Q4" i="1"/>
  <c r="H30" i="1"/>
  <c r="X26" i="1"/>
  <c r="T23" i="1"/>
  <c r="P20" i="1"/>
  <c r="L17" i="1"/>
  <c r="H14" i="1"/>
  <c r="X10" i="1"/>
  <c r="T7" i="1"/>
  <c r="P4" i="1"/>
  <c r="U11" i="1"/>
  <c r="Q8" i="1"/>
  <c r="W28" i="1"/>
  <c r="S25" i="1"/>
  <c r="O22" i="1"/>
  <c r="K19" i="1"/>
  <c r="S15" i="1"/>
  <c r="G12" i="1"/>
  <c r="W8" i="1"/>
  <c r="W4" i="1"/>
  <c r="J15" i="1"/>
  <c r="F12" i="1"/>
  <c r="V8" i="1"/>
  <c r="R5" i="1"/>
  <c r="N2" i="1"/>
  <c r="E22" i="1"/>
  <c r="U18" i="1"/>
  <c r="Q15" i="1"/>
  <c r="M12" i="1"/>
  <c r="I9" i="1"/>
  <c r="E6" i="1"/>
  <c r="U2" i="1"/>
  <c r="V15" i="1"/>
  <c r="N16" i="1"/>
  <c r="F15" i="1"/>
  <c r="H27" i="1"/>
  <c r="Q27" i="1"/>
  <c r="G23" i="1"/>
  <c r="X17" i="1"/>
  <c r="X11" i="1"/>
  <c r="O13" i="1"/>
  <c r="R30" i="1"/>
  <c r="L26" i="1"/>
  <c r="P21" i="1"/>
  <c r="M28" i="1"/>
  <c r="F17" i="1"/>
  <c r="H29" i="1"/>
  <c r="V24" i="1"/>
  <c r="V19" i="1"/>
  <c r="L14" i="1"/>
  <c r="P5" i="1"/>
  <c r="W27" i="1"/>
  <c r="L28" i="1"/>
  <c r="X23" i="1"/>
  <c r="V18" i="1"/>
  <c r="H13" i="1"/>
  <c r="M30" i="1"/>
  <c r="I26" i="1"/>
  <c r="M21" i="1"/>
  <c r="J16" i="1"/>
  <c r="S6" i="1"/>
  <c r="U25" i="1"/>
  <c r="E15" i="1"/>
  <c r="J29" i="1"/>
  <c r="H23" i="1"/>
  <c r="F18" i="1"/>
  <c r="J12" i="1"/>
  <c r="W5" i="1"/>
  <c r="K2" i="1"/>
  <c r="F5" i="1"/>
  <c r="U7" i="1"/>
  <c r="I4" i="1"/>
  <c r="T29" i="1"/>
  <c r="P26" i="1"/>
  <c r="L23" i="1"/>
  <c r="H20" i="1"/>
  <c r="X16" i="1"/>
  <c r="T13" i="1"/>
  <c r="P10" i="1"/>
  <c r="L7" i="1"/>
  <c r="H4" i="1"/>
  <c r="M11" i="1"/>
  <c r="I8" i="1"/>
  <c r="O28" i="1"/>
  <c r="K25" i="1"/>
  <c r="G22" i="1"/>
  <c r="W18" i="1"/>
  <c r="K15" i="1"/>
  <c r="S11" i="1"/>
  <c r="O8" i="1"/>
  <c r="O4" i="1"/>
  <c r="V14" i="1"/>
  <c r="R11" i="1"/>
  <c r="N8" i="1"/>
  <c r="J5" i="1"/>
  <c r="F2" i="1"/>
  <c r="Q21" i="1"/>
  <c r="M18" i="1"/>
  <c r="I15" i="1"/>
  <c r="E12" i="1"/>
  <c r="U8" i="1"/>
  <c r="Q5" i="1"/>
  <c r="M2" i="1"/>
  <c r="O27" i="1"/>
  <c r="K22" i="1"/>
  <c r="Q29" i="1"/>
  <c r="E23" i="1"/>
  <c r="N24" i="1"/>
  <c r="G27" i="1"/>
  <c r="N22" i="1"/>
  <c r="M17" i="1"/>
  <c r="F11" i="1"/>
  <c r="S12" i="1"/>
  <c r="F30" i="1"/>
  <c r="V25" i="1"/>
  <c r="E21" i="1"/>
  <c r="M27" i="1"/>
  <c r="U15" i="1"/>
  <c r="R28" i="1"/>
  <c r="K24" i="1"/>
  <c r="H19" i="1"/>
  <c r="P13" i="1"/>
  <c r="L2" i="1"/>
  <c r="F24" i="1"/>
  <c r="V27" i="1"/>
  <c r="M23" i="1"/>
  <c r="J18" i="1"/>
  <c r="L12" i="1"/>
  <c r="W29" i="1"/>
  <c r="Q25" i="1"/>
  <c r="S20" i="1"/>
  <c r="O15" i="1"/>
  <c r="P3" i="1"/>
  <c r="I25" i="1"/>
  <c r="M13" i="1"/>
  <c r="J28" i="1"/>
  <c r="Q22" i="1"/>
  <c r="N17" i="1"/>
  <c r="G11" i="1"/>
  <c r="O5" i="1"/>
  <c r="V7" i="1"/>
  <c r="R4" i="1"/>
  <c r="E7" i="1"/>
  <c r="U3" i="1"/>
  <c r="L29" i="1"/>
  <c r="H26" i="1"/>
  <c r="X22" i="1"/>
  <c r="T19" i="1"/>
  <c r="P16" i="1"/>
  <c r="L13" i="1"/>
  <c r="H10" i="1"/>
  <c r="X6" i="1"/>
  <c r="T3" i="1"/>
  <c r="E11" i="1"/>
  <c r="Q2" i="1"/>
  <c r="G28" i="1"/>
  <c r="W24" i="1"/>
  <c r="S21" i="1"/>
  <c r="O18" i="1"/>
  <c r="W14" i="1"/>
  <c r="K11" i="1"/>
  <c r="S7" i="1"/>
  <c r="S3" i="1"/>
  <c r="N14" i="1"/>
  <c r="J11" i="1"/>
  <c r="F8" i="1"/>
  <c r="V4" i="1"/>
  <c r="M24" i="1"/>
  <c r="I21" i="1"/>
  <c r="E18" i="1"/>
  <c r="U14" i="1"/>
  <c r="Q11" i="1"/>
  <c r="M8" i="1"/>
  <c r="I5" i="1"/>
  <c r="V17" i="1"/>
  <c r="H17" i="1"/>
  <c r="M25" i="1"/>
  <c r="Q16" i="1"/>
  <c r="U30" i="1"/>
  <c r="Q26" i="1"/>
  <c r="V21" i="1"/>
  <c r="S16" i="1"/>
  <c r="W9" i="1"/>
  <c r="V11" i="1"/>
  <c r="P29" i="1"/>
  <c r="J25" i="1"/>
  <c r="K20" i="1"/>
  <c r="K26" i="1"/>
  <c r="I14" i="1"/>
  <c r="F28" i="1"/>
  <c r="R23" i="1"/>
  <c r="Q18" i="1"/>
  <c r="T12" i="1"/>
  <c r="P11" i="1"/>
  <c r="R17" i="1"/>
  <c r="J27" i="1"/>
  <c r="S22" i="1"/>
  <c r="P17" i="1"/>
  <c r="N11" i="1"/>
  <c r="M29" i="1"/>
  <c r="G25" i="1"/>
  <c r="F20" i="1"/>
  <c r="S14" i="1"/>
  <c r="J14" i="1"/>
  <c r="N23" i="1"/>
  <c r="O11" i="1"/>
  <c r="R27" i="1"/>
  <c r="W21" i="1"/>
  <c r="T16" i="1"/>
  <c r="X9" i="1"/>
  <c r="S4" i="1"/>
  <c r="N7" i="1"/>
  <c r="J4" i="1"/>
  <c r="Q6" i="1"/>
  <c r="M3" i="1"/>
  <c r="X28" i="1"/>
  <c r="T25" i="1"/>
  <c r="P22" i="1"/>
  <c r="L19" i="1"/>
  <c r="H16" i="1"/>
  <c r="X12" i="1"/>
  <c r="T9" i="1"/>
  <c r="P6" i="1"/>
  <c r="L3" i="1"/>
  <c r="Q10" i="1"/>
  <c r="W30" i="1"/>
  <c r="S27" i="1"/>
  <c r="O24" i="1"/>
  <c r="K21" i="1"/>
  <c r="G18" i="1"/>
  <c r="O14" i="1"/>
  <c r="W10" i="1"/>
  <c r="K7" i="1"/>
  <c r="K3" i="1"/>
  <c r="F14" i="1"/>
  <c r="V10" i="1"/>
  <c r="R7" i="1"/>
  <c r="N4" i="1"/>
  <c r="E24" i="1"/>
  <c r="U20" i="1"/>
  <c r="Q17" i="1"/>
  <c r="M14" i="1"/>
  <c r="I11" i="1"/>
  <c r="E8" i="1"/>
  <c r="U4" i="1"/>
  <c r="E27" i="1"/>
  <c r="S30" i="1"/>
  <c r="L20" i="1"/>
  <c r="E28" i="1"/>
  <c r="K30" i="1"/>
  <c r="E26" i="1"/>
  <c r="H21" i="1"/>
  <c r="F16" i="1"/>
  <c r="T8" i="1"/>
  <c r="S10" i="1"/>
  <c r="F29" i="1"/>
  <c r="T24" i="1"/>
  <c r="R19" i="1"/>
  <c r="S24" i="1"/>
  <c r="Q12" i="1"/>
  <c r="P27" i="1"/>
  <c r="F23" i="1"/>
  <c r="W17" i="1"/>
  <c r="W11" i="1"/>
  <c r="R10" i="1"/>
  <c r="L4" i="1"/>
  <c r="T26" i="1"/>
  <c r="F22" i="1"/>
  <c r="E17" i="1"/>
  <c r="K10" i="1"/>
  <c r="U28" i="1"/>
  <c r="Q24" i="1"/>
  <c r="N19" i="1"/>
  <c r="W13" i="1"/>
  <c r="Q30" i="1"/>
  <c r="I22" i="1"/>
  <c r="N9" i="1"/>
  <c r="R26" i="1"/>
  <c r="J21" i="1"/>
  <c r="I16" i="1"/>
  <c r="F9" i="1"/>
  <c r="K4" i="1"/>
  <c r="F7" i="1"/>
  <c r="V3" i="1"/>
  <c r="I6" i="1"/>
  <c r="E3" i="1"/>
  <c r="P28" i="1"/>
  <c r="L25" i="1"/>
  <c r="H22" i="1"/>
  <c r="X18" i="1"/>
  <c r="T15" i="1"/>
  <c r="P12" i="1"/>
  <c r="L9" i="1"/>
  <c r="H6" i="1"/>
  <c r="X2" i="1"/>
  <c r="I10" i="1"/>
  <c r="O30" i="1"/>
  <c r="K27" i="1"/>
  <c r="G24" i="1"/>
  <c r="W20" i="1"/>
  <c r="S17" i="1"/>
  <c r="S13" i="1"/>
  <c r="O10" i="1"/>
  <c r="W6" i="1"/>
  <c r="W2" i="1"/>
  <c r="R13" i="1"/>
  <c r="N10" i="1"/>
  <c r="J7" i="1"/>
  <c r="F4" i="1"/>
  <c r="Q23" i="1"/>
  <c r="M20" i="1"/>
  <c r="I17" i="1"/>
  <c r="E14" i="1"/>
  <c r="U10" i="1"/>
  <c r="Q7" i="1"/>
  <c r="M4" i="1"/>
  <c r="R21" i="1"/>
  <c r="M26" i="1"/>
  <c r="W15" i="1"/>
  <c r="P23" i="1"/>
  <c r="U29" i="1"/>
  <c r="O25" i="1"/>
  <c r="Q20" i="1"/>
  <c r="M15" i="1"/>
  <c r="P7" i="1"/>
  <c r="P9" i="1"/>
  <c r="N28" i="1"/>
  <c r="I24" i="1"/>
  <c r="F19" i="1"/>
  <c r="T22" i="1"/>
  <c r="L10" i="1"/>
  <c r="F27" i="1"/>
  <c r="L22" i="1"/>
  <c r="J17" i="1"/>
  <c r="T10" i="1"/>
  <c r="O9" i="1"/>
  <c r="N30" i="1"/>
  <c r="J26" i="1"/>
  <c r="N21" i="1"/>
  <c r="K16" i="1"/>
  <c r="H9" i="1"/>
  <c r="K28" i="1"/>
  <c r="W23" i="1"/>
  <c r="T18" i="1"/>
  <c r="K12" i="1"/>
  <c r="E30" i="1"/>
  <c r="V20" i="1"/>
  <c r="K8" i="1"/>
  <c r="F26" i="1"/>
  <c r="R20" i="1"/>
  <c r="N15" i="1"/>
  <c r="W7" i="1"/>
  <c r="W3" i="1"/>
  <c r="R6" i="1"/>
  <c r="N3" i="1"/>
  <c r="U5" i="1"/>
  <c r="I2" i="1"/>
  <c r="H28" i="1"/>
  <c r="X24" i="1"/>
  <c r="T21" i="1"/>
  <c r="P18" i="1"/>
  <c r="L15" i="1"/>
  <c r="H12" i="1"/>
  <c r="X8" i="1"/>
  <c r="T5" i="1"/>
  <c r="P2" i="1"/>
  <c r="U9" i="1"/>
  <c r="G30" i="1"/>
  <c r="W26" i="1"/>
  <c r="S23" i="1"/>
  <c r="O20" i="1"/>
  <c r="K17" i="1"/>
  <c r="K13" i="1"/>
  <c r="G10" i="1"/>
  <c r="O6" i="1"/>
  <c r="O2" i="1"/>
  <c r="J13" i="1"/>
  <c r="F10" i="1"/>
  <c r="V6" i="1"/>
  <c r="R3" i="1"/>
  <c r="I23" i="1"/>
  <c r="E20" i="1"/>
  <c r="U16" i="1"/>
  <c r="Q13" i="1"/>
  <c r="M10" i="1"/>
  <c r="I7" i="1"/>
  <c r="E4" i="1"/>
  <c r="G29" i="1"/>
  <c r="I30" i="1"/>
  <c r="Q28" i="1"/>
  <c r="N18" i="1"/>
  <c r="I29" i="1"/>
  <c r="E25" i="1"/>
  <c r="W19" i="1"/>
  <c r="Q14" i="1"/>
  <c r="X5" i="1"/>
  <c r="R8" i="1"/>
  <c r="X27" i="1"/>
  <c r="O23" i="1"/>
  <c r="L18" i="1"/>
  <c r="O21" i="1"/>
  <c r="T30" i="1"/>
  <c r="N26" i="1"/>
  <c r="U21" i="1"/>
  <c r="R16" i="1"/>
  <c r="V9" i="1"/>
  <c r="L8" i="1"/>
  <c r="X29" i="1"/>
  <c r="R25" i="1"/>
  <c r="T20" i="1"/>
  <c r="P15" i="1"/>
  <c r="J8" i="1"/>
  <c r="U27" i="1"/>
  <c r="J23" i="1"/>
  <c r="I18" i="1"/>
  <c r="H11" i="1"/>
  <c r="O29" i="1"/>
  <c r="P19" i="1"/>
  <c r="V30" i="1"/>
  <c r="P25" i="1"/>
  <c r="X19" i="1"/>
  <c r="R14" i="1"/>
  <c r="L6" i="1"/>
  <c r="O3" i="1"/>
  <c r="J6" i="1"/>
  <c r="F3" i="1"/>
  <c r="M5" i="1"/>
  <c r="X30" i="1"/>
  <c r="T27" i="1"/>
  <c r="P24" i="1"/>
  <c r="L21" i="1"/>
  <c r="H18" i="1"/>
  <c r="X14" i="1"/>
  <c r="T11" i="1"/>
  <c r="P8" i="1"/>
  <c r="L5" i="1"/>
  <c r="H2" i="1"/>
  <c r="M9" i="1"/>
  <c r="S29" i="1"/>
  <c r="O26" i="1"/>
  <c r="K23" i="1"/>
  <c r="G20" i="1"/>
  <c r="W16" i="1"/>
  <c r="W12" i="1"/>
  <c r="S9" i="1"/>
  <c r="S5" i="1"/>
  <c r="G2" i="1"/>
  <c r="V12" i="1"/>
  <c r="R9" i="1"/>
  <c r="N6" i="1"/>
  <c r="J3" i="1"/>
  <c r="U22" i="1"/>
  <c r="Q19" i="1"/>
  <c r="M16" i="1"/>
  <c r="I13" i="1"/>
  <c r="E10" i="1"/>
  <c r="U6" i="1"/>
  <c r="Q3" i="1"/>
  <c r="G4" i="1"/>
  <c r="G14" i="1"/>
  <c r="G6" i="1"/>
  <c r="G7" i="1"/>
  <c r="U30" i="3"/>
  <c r="J25" i="3"/>
  <c r="H4" i="3"/>
  <c r="J9" i="3"/>
  <c r="M14" i="3"/>
  <c r="H20" i="3"/>
  <c r="L25" i="3"/>
  <c r="J4" i="3"/>
  <c r="L9" i="3"/>
  <c r="N14" i="3"/>
  <c r="Q19" i="3"/>
  <c r="T24" i="3"/>
  <c r="F3" i="3"/>
  <c r="L11" i="3"/>
  <c r="H17" i="3"/>
  <c r="J22" i="3"/>
  <c r="T28" i="3"/>
  <c r="R5" i="3"/>
  <c r="N11" i="3"/>
  <c r="I17" i="3"/>
  <c r="L22" i="3"/>
  <c r="U28" i="3"/>
  <c r="I3" i="3"/>
  <c r="N13" i="3"/>
  <c r="H21" i="3"/>
  <c r="D28" i="3"/>
  <c r="N6" i="3"/>
  <c r="Q11" i="3"/>
  <c r="T16" i="3"/>
  <c r="B22" i="3"/>
  <c r="E28" i="3"/>
  <c r="M12" i="3"/>
  <c r="H5" i="3"/>
  <c r="D18" i="3"/>
  <c r="R4" i="3"/>
  <c r="M10" i="3"/>
  <c r="H16" i="3"/>
  <c r="J21" i="3"/>
  <c r="H27" i="3"/>
  <c r="B10" i="3"/>
  <c r="J16" i="3"/>
  <c r="E22" i="3"/>
  <c r="R27" i="3"/>
  <c r="G2" i="3"/>
  <c r="K5" i="3"/>
  <c r="O8" i="3"/>
  <c r="S11" i="3"/>
  <c r="C15" i="3"/>
  <c r="G18" i="3"/>
  <c r="K21" i="3"/>
  <c r="O24" i="3"/>
  <c r="S27" i="3"/>
  <c r="P30" i="3"/>
  <c r="E5" i="3"/>
  <c r="I8" i="3"/>
  <c r="M11" i="3"/>
  <c r="Q14" i="3"/>
  <c r="U17" i="3"/>
  <c r="E21" i="3"/>
  <c r="I24" i="3"/>
  <c r="M27" i="3"/>
  <c r="Q30" i="3"/>
  <c r="R28" i="3"/>
  <c r="S2" i="3"/>
  <c r="C6" i="3"/>
  <c r="G9" i="3"/>
  <c r="K12" i="3"/>
  <c r="O15" i="3"/>
  <c r="S18" i="3"/>
  <c r="C22" i="3"/>
  <c r="G25" i="3"/>
  <c r="K28" i="3"/>
  <c r="S28" i="3"/>
  <c r="C26" i="3"/>
  <c r="G21" i="3"/>
  <c r="G15" i="3"/>
  <c r="P24" i="3"/>
  <c r="U4" i="3"/>
  <c r="D10" i="3"/>
  <c r="F15" i="3"/>
  <c r="U20" i="3"/>
  <c r="L26" i="3"/>
  <c r="B5" i="3"/>
  <c r="E10" i="3"/>
  <c r="H15" i="3"/>
  <c r="J20" i="3"/>
  <c r="N25" i="3"/>
  <c r="J6" i="3"/>
  <c r="E12" i="3"/>
  <c r="T17" i="3"/>
  <c r="B23" i="3"/>
  <c r="T29" i="3"/>
  <c r="L6" i="3"/>
  <c r="F12" i="3"/>
  <c r="B18" i="3"/>
  <c r="D23" i="3"/>
  <c r="D30" i="3"/>
  <c r="N4" i="3"/>
  <c r="T14" i="3"/>
  <c r="M22" i="3"/>
  <c r="E30" i="3"/>
  <c r="H7" i="3"/>
  <c r="J12" i="3"/>
  <c r="L17" i="3"/>
  <c r="N22" i="3"/>
  <c r="H29" i="3"/>
  <c r="U18" i="3"/>
  <c r="F7" i="3"/>
  <c r="B20" i="3"/>
  <c r="J5" i="3"/>
  <c r="F11" i="3"/>
  <c r="U16" i="3"/>
  <c r="D22" i="3"/>
  <c r="H28" i="3"/>
  <c r="N10" i="3"/>
  <c r="B17" i="3"/>
  <c r="J23" i="3"/>
  <c r="F28" i="3"/>
  <c r="O2" i="3"/>
  <c r="S5" i="3"/>
  <c r="C9" i="3"/>
  <c r="G12" i="3"/>
  <c r="K15" i="3"/>
  <c r="O18" i="3"/>
  <c r="S21" i="3"/>
  <c r="C25" i="3"/>
  <c r="G28" i="3"/>
  <c r="I2" i="3"/>
  <c r="M5" i="3"/>
  <c r="Q8" i="3"/>
  <c r="U11" i="3"/>
  <c r="E15" i="3"/>
  <c r="I18" i="3"/>
  <c r="M21" i="3"/>
  <c r="Q24" i="3"/>
  <c r="U27" i="3"/>
  <c r="B26" i="3"/>
  <c r="F29" i="3"/>
  <c r="G3" i="3"/>
  <c r="K6" i="3"/>
  <c r="O9" i="3"/>
  <c r="S12" i="3"/>
  <c r="C16" i="3"/>
  <c r="G19" i="3"/>
  <c r="K22" i="3"/>
  <c r="O25" i="3"/>
  <c r="G29" i="3"/>
  <c r="S30" i="3"/>
  <c r="K18" i="3"/>
  <c r="H26" i="3"/>
  <c r="N5" i="3"/>
  <c r="P10" i="3"/>
  <c r="R15" i="3"/>
  <c r="N21" i="3"/>
  <c r="L27" i="3"/>
  <c r="P5" i="3"/>
  <c r="R10" i="3"/>
  <c r="T15" i="3"/>
  <c r="B21" i="3"/>
  <c r="M26" i="3"/>
  <c r="P7" i="3"/>
  <c r="R12" i="3"/>
  <c r="M18" i="3"/>
  <c r="P23" i="3"/>
  <c r="B2" i="3"/>
  <c r="Q7" i="3"/>
  <c r="T12" i="3"/>
  <c r="N18" i="3"/>
  <c r="Q23" i="3"/>
  <c r="H2" i="3"/>
  <c r="T5" i="3"/>
  <c r="L15" i="3"/>
  <c r="F23" i="3"/>
  <c r="E2" i="3"/>
  <c r="T7" i="3"/>
  <c r="B13" i="3"/>
  <c r="E18" i="3"/>
  <c r="H23" i="3"/>
  <c r="H30" i="3"/>
  <c r="L29" i="3"/>
  <c r="L8" i="3"/>
  <c r="T21" i="3"/>
  <c r="P6" i="3"/>
  <c r="R11" i="3"/>
  <c r="N17" i="3"/>
  <c r="P22" i="3"/>
  <c r="I29" i="3"/>
  <c r="H11" i="3"/>
  <c r="P17" i="3"/>
  <c r="B25" i="3"/>
  <c r="N28" i="3"/>
  <c r="C3" i="3"/>
  <c r="G6" i="3"/>
  <c r="K9" i="3"/>
  <c r="O12" i="3"/>
  <c r="S15" i="3"/>
  <c r="C19" i="3"/>
  <c r="G22" i="3"/>
  <c r="K25" i="3"/>
  <c r="O28" i="3"/>
  <c r="Q2" i="3"/>
  <c r="U5" i="3"/>
  <c r="E9" i="3"/>
  <c r="I12" i="3"/>
  <c r="M15" i="3"/>
  <c r="Q18" i="3"/>
  <c r="U21" i="3"/>
  <c r="E25" i="3"/>
  <c r="I28" i="3"/>
  <c r="J26" i="3"/>
  <c r="N29" i="3"/>
  <c r="O3" i="3"/>
  <c r="S6" i="3"/>
  <c r="C10" i="3"/>
  <c r="G13" i="3"/>
  <c r="K16" i="3"/>
  <c r="O19" i="3"/>
  <c r="S22" i="3"/>
  <c r="O27" i="3"/>
  <c r="S24" i="3"/>
  <c r="I27" i="3"/>
  <c r="F6" i="3"/>
  <c r="I11" i="3"/>
  <c r="L16" i="3"/>
  <c r="F22" i="3"/>
  <c r="M28" i="3"/>
  <c r="H6" i="3"/>
  <c r="J11" i="3"/>
  <c r="M16" i="3"/>
  <c r="P21" i="3"/>
  <c r="P27" i="3"/>
  <c r="H8" i="3"/>
  <c r="J13" i="3"/>
  <c r="F19" i="3"/>
  <c r="H24" i="3"/>
  <c r="N2" i="3"/>
  <c r="J8" i="3"/>
  <c r="L13" i="3"/>
  <c r="H19" i="3"/>
  <c r="J24" i="3"/>
  <c r="E6" i="3"/>
  <c r="M6" i="3"/>
  <c r="R16" i="3"/>
  <c r="R23" i="3"/>
  <c r="R2" i="3"/>
  <c r="M8" i="3"/>
  <c r="P13" i="3"/>
  <c r="R18" i="3"/>
  <c r="T23" i="3"/>
  <c r="N3" i="3"/>
  <c r="M2" i="3"/>
  <c r="Q9" i="3"/>
  <c r="D29" i="3"/>
  <c r="I7" i="3"/>
  <c r="L12" i="3"/>
  <c r="F18" i="3"/>
  <c r="I23" i="3"/>
  <c r="L30" i="3"/>
  <c r="T11" i="3"/>
  <c r="H18" i="3"/>
  <c r="R25" i="3"/>
  <c r="B29" i="3"/>
  <c r="K3" i="3"/>
  <c r="O6" i="3"/>
  <c r="S9" i="3"/>
  <c r="C13" i="3"/>
  <c r="G16" i="3"/>
  <c r="K19" i="3"/>
  <c r="O22" i="3"/>
  <c r="S25" i="3"/>
  <c r="C29" i="3"/>
  <c r="E3" i="3"/>
  <c r="I6" i="3"/>
  <c r="M9" i="3"/>
  <c r="Q12" i="3"/>
  <c r="U15" i="3"/>
  <c r="E19" i="3"/>
  <c r="I22" i="3"/>
  <c r="M25" i="3"/>
  <c r="Q28" i="3"/>
  <c r="R26" i="3"/>
  <c r="B30" i="3"/>
  <c r="C4" i="3"/>
  <c r="G7" i="3"/>
  <c r="K10" i="3"/>
  <c r="O13" i="3"/>
  <c r="S16" i="3"/>
  <c r="C20" i="3"/>
  <c r="G23" i="3"/>
  <c r="K26" i="3"/>
  <c r="O29" i="3"/>
  <c r="C18" i="3"/>
  <c r="M30" i="3"/>
  <c r="T6" i="3"/>
  <c r="B12" i="3"/>
  <c r="Q17" i="3"/>
  <c r="T22" i="3"/>
  <c r="P29" i="3"/>
  <c r="U6" i="3"/>
  <c r="D12" i="3"/>
  <c r="F17" i="3"/>
  <c r="H22" i="3"/>
  <c r="P28" i="3"/>
  <c r="U8" i="3"/>
  <c r="P14" i="3"/>
  <c r="R19" i="3"/>
  <c r="U24" i="3"/>
  <c r="H3" i="3"/>
  <c r="B9" i="3"/>
  <c r="E14" i="3"/>
  <c r="T19" i="3"/>
  <c r="D25" i="3"/>
  <c r="R22" i="3"/>
  <c r="R7" i="3"/>
  <c r="J17" i="3"/>
  <c r="L24" i="3"/>
  <c r="J3" i="3"/>
  <c r="F9" i="3"/>
  <c r="H14" i="3"/>
  <c r="J19" i="3"/>
  <c r="M24" i="3"/>
  <c r="F4" i="3"/>
  <c r="L4" i="3"/>
  <c r="B11" i="3"/>
  <c r="F2" i="3"/>
  <c r="B8" i="3"/>
  <c r="Q13" i="3"/>
  <c r="T18" i="3"/>
  <c r="B24" i="3"/>
  <c r="U2" i="3"/>
  <c r="F13" i="3"/>
  <c r="N19" i="3"/>
  <c r="F26" i="3"/>
  <c r="J29" i="3"/>
  <c r="S3" i="3"/>
  <c r="C7" i="3"/>
  <c r="G10" i="3"/>
  <c r="K13" i="3"/>
  <c r="O16" i="3"/>
  <c r="S19" i="3"/>
  <c r="C23" i="3"/>
  <c r="G26" i="3"/>
  <c r="K29" i="3"/>
  <c r="M3" i="3"/>
  <c r="Q6" i="3"/>
  <c r="U9" i="3"/>
  <c r="E13" i="3"/>
  <c r="I16" i="3"/>
  <c r="M19" i="3"/>
  <c r="Q22" i="3"/>
  <c r="U25" i="3"/>
  <c r="E29" i="3"/>
  <c r="F27" i="3"/>
  <c r="J30" i="3"/>
  <c r="K4" i="3"/>
  <c r="O7" i="3"/>
  <c r="S10" i="3"/>
  <c r="C14" i="3"/>
  <c r="G17" i="3"/>
  <c r="K20" i="3"/>
  <c r="O23" i="3"/>
  <c r="S26" i="3"/>
  <c r="C30" i="3"/>
  <c r="C28" i="3"/>
  <c r="J2" i="3"/>
  <c r="L7" i="3"/>
  <c r="N12" i="3"/>
  <c r="J18" i="3"/>
  <c r="L23" i="3"/>
  <c r="L2" i="3"/>
  <c r="N7" i="3"/>
  <c r="P12" i="3"/>
  <c r="R17" i="3"/>
  <c r="U22" i="3"/>
  <c r="Q29" i="3"/>
  <c r="N9" i="3"/>
  <c r="I15" i="3"/>
  <c r="L20" i="3"/>
  <c r="P25" i="3"/>
  <c r="T3" i="3"/>
  <c r="P9" i="3"/>
  <c r="R14" i="3"/>
  <c r="M20" i="3"/>
  <c r="Q25" i="3"/>
  <c r="R3" i="3"/>
  <c r="J10" i="3"/>
  <c r="P18" i="3"/>
  <c r="F25" i="3"/>
  <c r="P4" i="3"/>
  <c r="R9" i="3"/>
  <c r="U14" i="3"/>
  <c r="D20" i="3"/>
  <c r="H25" i="3"/>
  <c r="L5" i="3"/>
  <c r="B7" i="3"/>
  <c r="H12" i="3"/>
  <c r="T2" i="3"/>
  <c r="N8" i="3"/>
  <c r="J14" i="3"/>
  <c r="L19" i="3"/>
  <c r="N24" i="3"/>
  <c r="T4" i="3"/>
  <c r="R13" i="3"/>
  <c r="F20" i="3"/>
  <c r="N26" i="3"/>
  <c r="R29" i="3"/>
  <c r="G4" i="3"/>
  <c r="K7" i="3"/>
  <c r="O10" i="3"/>
  <c r="S13" i="3"/>
  <c r="C17" i="3"/>
  <c r="G20" i="3"/>
  <c r="K23" i="3"/>
  <c r="O26" i="3"/>
  <c r="S29" i="3"/>
  <c r="U3" i="3"/>
  <c r="E7" i="3"/>
  <c r="I10" i="3"/>
  <c r="M13" i="3"/>
  <c r="Q16" i="3"/>
  <c r="U19" i="3"/>
  <c r="E23" i="3"/>
  <c r="I26" i="3"/>
  <c r="M29" i="3"/>
  <c r="N27" i="3"/>
  <c r="R30" i="3"/>
  <c r="S4" i="3"/>
  <c r="C8" i="3"/>
  <c r="G11" i="3"/>
  <c r="K14" i="3"/>
  <c r="O17" i="3"/>
  <c r="S20" i="3"/>
  <c r="C24" i="3"/>
  <c r="G27" i="3"/>
  <c r="K30" i="3"/>
  <c r="G5" i="3"/>
  <c r="O11" i="3"/>
  <c r="O21" i="3"/>
  <c r="B3" i="3"/>
  <c r="E8" i="3"/>
  <c r="H13" i="3"/>
  <c r="B19" i="3"/>
  <c r="E24" i="3"/>
  <c r="D3" i="3"/>
  <c r="F8" i="3"/>
  <c r="I13" i="3"/>
  <c r="L18" i="3"/>
  <c r="N23" i="3"/>
  <c r="D24" i="3"/>
  <c r="F10" i="3"/>
  <c r="B16" i="3"/>
  <c r="D21" i="3"/>
  <c r="P26" i="3"/>
  <c r="M4" i="3"/>
  <c r="H10" i="3"/>
  <c r="J15" i="3"/>
  <c r="F21" i="3"/>
  <c r="T26" i="3"/>
  <c r="Q5" i="3"/>
  <c r="P11" i="3"/>
  <c r="I19" i="3"/>
  <c r="T25" i="3"/>
  <c r="I5" i="3"/>
  <c r="L10" i="3"/>
  <c r="N15" i="3"/>
  <c r="P20" i="3"/>
  <c r="D26" i="3"/>
  <c r="J7" i="3"/>
  <c r="P2" i="3"/>
  <c r="F14" i="3"/>
  <c r="L3" i="3"/>
  <c r="H9" i="3"/>
  <c r="B15" i="3"/>
  <c r="E20" i="3"/>
  <c r="I25" i="3"/>
  <c r="R6" i="3"/>
  <c r="L14" i="3"/>
  <c r="T20" i="3"/>
  <c r="B27" i="3"/>
  <c r="F30" i="3"/>
  <c r="O4" i="3"/>
  <c r="S7" i="3"/>
  <c r="C11" i="3"/>
  <c r="G14" i="3"/>
  <c r="K17" i="3"/>
  <c r="O20" i="3"/>
  <c r="S23" i="3"/>
  <c r="C27" i="3"/>
  <c r="G30" i="3"/>
  <c r="I4" i="3"/>
  <c r="M7" i="3"/>
  <c r="Q10" i="3"/>
  <c r="U13" i="3"/>
  <c r="E17" i="3"/>
  <c r="I20" i="3"/>
  <c r="M23" i="3"/>
  <c r="Q26" i="3"/>
  <c r="U29" i="3"/>
  <c r="B28" i="3"/>
  <c r="C2" i="3"/>
  <c r="K8" i="3"/>
  <c r="S14" i="3"/>
  <c r="K24" i="3"/>
  <c r="P3" i="3"/>
  <c r="R8" i="3"/>
  <c r="T13" i="3"/>
  <c r="P19" i="3"/>
  <c r="R24" i="3"/>
  <c r="Q3" i="3"/>
  <c r="T8" i="3"/>
  <c r="B14" i="3"/>
  <c r="D19" i="3"/>
  <c r="F24" i="3"/>
  <c r="L28" i="3"/>
  <c r="T10" i="3"/>
  <c r="N16" i="3"/>
  <c r="Q21" i="3"/>
  <c r="Q27" i="3"/>
  <c r="F5" i="3"/>
  <c r="U10" i="3"/>
  <c r="P16" i="3"/>
  <c r="R21" i="3"/>
  <c r="T27" i="3"/>
  <c r="D2" i="3"/>
  <c r="U12" i="3"/>
  <c r="N20" i="3"/>
  <c r="U26" i="3"/>
  <c r="B6" i="3"/>
  <c r="D11" i="3"/>
  <c r="F16" i="3"/>
  <c r="I21" i="3"/>
  <c r="D27" i="3"/>
  <c r="P8" i="3"/>
  <c r="B4" i="3"/>
  <c r="E16" i="3"/>
  <c r="E4" i="3"/>
  <c r="T9" i="3"/>
  <c r="P15" i="3"/>
  <c r="R20" i="3"/>
  <c r="E26" i="3"/>
  <c r="I9" i="3"/>
  <c r="Q15" i="3"/>
  <c r="L21" i="3"/>
  <c r="J27" i="3"/>
  <c r="N30" i="3"/>
  <c r="C5" i="3"/>
  <c r="G8" i="3"/>
  <c r="K11" i="3"/>
  <c r="O14" i="3"/>
  <c r="S17" i="3"/>
  <c r="C21" i="3"/>
  <c r="G24" i="3"/>
  <c r="K27" i="3"/>
  <c r="O30" i="3"/>
  <c r="Q4" i="3"/>
  <c r="U7" i="3"/>
  <c r="E11" i="3"/>
  <c r="I14" i="3"/>
  <c r="M17" i="3"/>
  <c r="Q20" i="3"/>
  <c r="U23" i="3"/>
  <c r="E27" i="3"/>
  <c r="I30" i="3"/>
  <c r="J28" i="3"/>
  <c r="K2" i="3"/>
  <c r="O5" i="3"/>
  <c r="S8" i="3"/>
  <c r="C12" i="3"/>
  <c r="T30" i="3"/>
  <c r="D6" i="3"/>
  <c r="D13" i="3"/>
  <c r="D9" i="3"/>
  <c r="D17" i="3"/>
  <c r="D14" i="3"/>
  <c r="D7" i="3"/>
  <c r="D5" i="3"/>
  <c r="D4" i="3"/>
  <c r="D8" i="3"/>
  <c r="D16" i="3"/>
  <c r="G17" i="1"/>
  <c r="G15" i="1"/>
  <c r="D15" i="3"/>
  <c r="G9" i="1"/>
  <c r="G5" i="1"/>
  <c r="G13" i="1"/>
  <c r="G8" i="1"/>
  <c r="AN489" i="1" l="1"/>
  <c r="AN381" i="1"/>
  <c r="AN219" i="1"/>
  <c r="AN273" i="1"/>
  <c r="AN55" i="1"/>
  <c r="AN543" i="1"/>
  <c r="AN435" i="1"/>
  <c r="AN111" i="1"/>
  <c r="AN327" i="1"/>
  <c r="AN165" i="1"/>
  <c r="AZ537" i="1"/>
  <c r="AO488" i="1"/>
  <c r="AZ429" i="1"/>
  <c r="AZ105" i="1"/>
  <c r="AO54" i="1"/>
  <c r="AO272" i="1"/>
  <c r="AO326" i="1"/>
  <c r="AZ267" i="1"/>
  <c r="AO380" i="1"/>
  <c r="AZ321" i="1"/>
  <c r="AO218" i="1"/>
  <c r="AZ159" i="1"/>
  <c r="AO110" i="1"/>
  <c r="AZ483" i="1"/>
  <c r="AO542" i="1"/>
  <c r="AZ375" i="1"/>
  <c r="AZ213" i="1"/>
  <c r="AZ51" i="1"/>
  <c r="AO434" i="1"/>
  <c r="AO164" i="1"/>
  <c r="X483" i="1"/>
  <c r="X375" i="1"/>
  <c r="X267" i="1"/>
  <c r="X159" i="1"/>
  <c r="X537" i="1"/>
  <c r="X429" i="1"/>
  <c r="X321" i="1"/>
  <c r="X213" i="1"/>
  <c r="X105" i="1"/>
  <c r="AO545" i="1"/>
  <c r="AI545" i="1" s="1"/>
  <c r="AO437" i="1"/>
  <c r="AI437" i="1" s="1"/>
  <c r="AO329" i="1"/>
  <c r="AI329" i="1" s="1"/>
  <c r="AO167" i="1"/>
  <c r="AI167" i="1" s="1"/>
  <c r="AO221" i="1"/>
  <c r="AI221" i="1" s="1"/>
  <c r="AO491" i="1"/>
  <c r="AI491" i="1" s="1"/>
  <c r="AO383" i="1"/>
  <c r="AI383" i="1" s="1"/>
  <c r="AO57" i="1"/>
  <c r="AI59" i="1" s="1"/>
  <c r="AI79" i="1" s="1"/>
  <c r="AO275" i="1"/>
  <c r="AI275" i="1" s="1"/>
  <c r="AO113" i="1"/>
  <c r="AI113" i="1" s="1"/>
  <c r="AO274" i="1"/>
  <c r="AO544" i="1"/>
  <c r="AO328" i="1"/>
  <c r="AO436" i="1"/>
  <c r="AO112" i="1"/>
  <c r="AO166" i="1"/>
  <c r="AO490" i="1"/>
  <c r="AO382" i="1"/>
  <c r="AO220" i="1"/>
  <c r="AO56" i="1"/>
  <c r="AO489" i="1"/>
  <c r="AO381" i="1"/>
  <c r="AO219" i="1"/>
  <c r="AO55" i="1"/>
  <c r="AO273" i="1"/>
  <c r="AO111" i="1"/>
  <c r="AO543" i="1"/>
  <c r="AO435" i="1"/>
  <c r="AO327" i="1"/>
  <c r="AO165" i="1"/>
  <c r="AZ480" i="1"/>
  <c r="AO480" i="1"/>
  <c r="AZ372" i="1"/>
  <c r="AZ210" i="1"/>
  <c r="AZ264" i="1"/>
  <c r="AO48" i="1"/>
  <c r="AO264" i="1"/>
  <c r="AO102" i="1"/>
  <c r="AO372" i="1"/>
  <c r="AO210" i="1"/>
  <c r="AZ48" i="1"/>
  <c r="AZ534" i="1"/>
  <c r="AO534" i="1"/>
  <c r="AZ426" i="1"/>
  <c r="AZ102" i="1"/>
  <c r="AZ318" i="1"/>
  <c r="AZ156" i="1"/>
  <c r="AO318" i="1"/>
  <c r="AO426" i="1"/>
  <c r="AO156" i="1"/>
  <c r="X480" i="1"/>
  <c r="X372" i="1"/>
  <c r="X264" i="1"/>
  <c r="X156" i="1"/>
  <c r="X534" i="1"/>
  <c r="X426" i="1"/>
  <c r="X318" i="1"/>
  <c r="X210" i="1"/>
  <c r="X102" i="1"/>
  <c r="AN545" i="1"/>
  <c r="AN113" i="1"/>
  <c r="AN437" i="1"/>
  <c r="AN275" i="1"/>
  <c r="AN329" i="1"/>
  <c r="AN167" i="1"/>
  <c r="AN491" i="1"/>
  <c r="AN383" i="1"/>
  <c r="AN221" i="1"/>
  <c r="AN57" i="1"/>
  <c r="AP538" i="1"/>
  <c r="AI544" i="1" s="1"/>
  <c r="AP529" i="1"/>
  <c r="AI555" i="1" s="1"/>
  <c r="AK477" i="1"/>
  <c r="AP422" i="1"/>
  <c r="AI449" i="1" s="1"/>
  <c r="AO529" i="1"/>
  <c r="AI554" i="1" s="1"/>
  <c r="AP526" i="1"/>
  <c r="AI552" i="1" s="1"/>
  <c r="AP430" i="1"/>
  <c r="AI436" i="1" s="1"/>
  <c r="AI456" i="1" s="1"/>
  <c r="AP421" i="1"/>
  <c r="AI447" i="1" s="1"/>
  <c r="AK369" i="1"/>
  <c r="AP314" i="1"/>
  <c r="AI341" i="1" s="1"/>
  <c r="AO309" i="1"/>
  <c r="AI333" i="1" s="1"/>
  <c r="AO266" i="1"/>
  <c r="AI273" i="1" s="1"/>
  <c r="AI293" i="1" s="1"/>
  <c r="AK207" i="1"/>
  <c r="AO147" i="1"/>
  <c r="AI171" i="1" s="1"/>
  <c r="AP106" i="1"/>
  <c r="AI112" i="1" s="1"/>
  <c r="AP97" i="1"/>
  <c r="AI123" i="1" s="1"/>
  <c r="AO536" i="1"/>
  <c r="AI543" i="1" s="1"/>
  <c r="AI563" i="1" s="1"/>
  <c r="AO473" i="1"/>
  <c r="AI497" i="1" s="1"/>
  <c r="AP471" i="1"/>
  <c r="AI496" i="1" s="1"/>
  <c r="AO421" i="1"/>
  <c r="AI446" i="1" s="1"/>
  <c r="AP418" i="1"/>
  <c r="AI444" i="1" s="1"/>
  <c r="AP322" i="1"/>
  <c r="AI328" i="1" s="1"/>
  <c r="AP313" i="1"/>
  <c r="AI339" i="1" s="1"/>
  <c r="AK266" i="1"/>
  <c r="AO261" i="1"/>
  <c r="AI286" i="1" s="1"/>
  <c r="AP256" i="1"/>
  <c r="AI282" i="1" s="1"/>
  <c r="AP160" i="1"/>
  <c r="AI166" i="1" s="1"/>
  <c r="AP152" i="1"/>
  <c r="AI179" i="1" s="1"/>
  <c r="AO97" i="1"/>
  <c r="AI122" i="1" s="1"/>
  <c r="AK45" i="1"/>
  <c r="AO320" i="1"/>
  <c r="AI327" i="1" s="1"/>
  <c r="AI347" i="1" s="1"/>
  <c r="AP310" i="1"/>
  <c r="AI336" i="1" s="1"/>
  <c r="AO315" i="1"/>
  <c r="AI340" i="1" s="1"/>
  <c r="AP214" i="1"/>
  <c r="AI220" i="1" s="1"/>
  <c r="AI240" i="1" s="1"/>
  <c r="AK99" i="1"/>
  <c r="AO41" i="1"/>
  <c r="AI65" i="1" s="1"/>
  <c r="AO95" i="1"/>
  <c r="AI119" i="1" s="1"/>
  <c r="AK536" i="1"/>
  <c r="AO531" i="1"/>
  <c r="AI556" i="1" s="1"/>
  <c r="AP476" i="1"/>
  <c r="AI503" i="1" s="1"/>
  <c r="AO471" i="1"/>
  <c r="AI495" i="1" s="1"/>
  <c r="AO428" i="1"/>
  <c r="AI435" i="1" s="1"/>
  <c r="AI455" i="1" s="1"/>
  <c r="AO365" i="1"/>
  <c r="AI389" i="1" s="1"/>
  <c r="AP363" i="1"/>
  <c r="AI388" i="1" s="1"/>
  <c r="AO313" i="1"/>
  <c r="AI338" i="1" s="1"/>
  <c r="AK261" i="1"/>
  <c r="AO203" i="1"/>
  <c r="AI227" i="1" s="1"/>
  <c r="AP201" i="1"/>
  <c r="AI226" i="1" s="1"/>
  <c r="AP151" i="1"/>
  <c r="AI177" i="1" s="1"/>
  <c r="AO104" i="1"/>
  <c r="AI111" i="1" s="1"/>
  <c r="AI131" i="1" s="1"/>
  <c r="AP94" i="1"/>
  <c r="AI120" i="1" s="1"/>
  <c r="AO363" i="1"/>
  <c r="AI387" i="1" s="1"/>
  <c r="AO201" i="1"/>
  <c r="AI225" i="1" s="1"/>
  <c r="AO158" i="1"/>
  <c r="AI165" i="1" s="1"/>
  <c r="AI185" i="1" s="1"/>
  <c r="AO151" i="1"/>
  <c r="AI176" i="1" s="1"/>
  <c r="AP148" i="1"/>
  <c r="AI174" i="1" s="1"/>
  <c r="AK104" i="1"/>
  <c r="AO99" i="1"/>
  <c r="AI124" i="1" s="1"/>
  <c r="AK320" i="1"/>
  <c r="AP206" i="1"/>
  <c r="AI233" i="1" s="1"/>
  <c r="AK158" i="1"/>
  <c r="AO153" i="1"/>
  <c r="AI178" i="1" s="1"/>
  <c r="AP44" i="1"/>
  <c r="AI71" i="1" s="1"/>
  <c r="AP39" i="1"/>
  <c r="AI64" i="1" s="1"/>
  <c r="AP93" i="1"/>
  <c r="AI118" i="1" s="1"/>
  <c r="AO43" i="1"/>
  <c r="AI68" i="1" s="1"/>
  <c r="AO369" i="1"/>
  <c r="AI394" i="1" s="1"/>
  <c r="AO311" i="1"/>
  <c r="AI335" i="1" s="1"/>
  <c r="AK531" i="1"/>
  <c r="AP484" i="1"/>
  <c r="AI490" i="1" s="1"/>
  <c r="AI510" i="1" s="1"/>
  <c r="AP475" i="1"/>
  <c r="AI501" i="1" s="1"/>
  <c r="AK428" i="1"/>
  <c r="AO423" i="1"/>
  <c r="AI448" i="1" s="1"/>
  <c r="AP368" i="1"/>
  <c r="AI395" i="1" s="1"/>
  <c r="AO527" i="1"/>
  <c r="AI551" i="1" s="1"/>
  <c r="AP525" i="1"/>
  <c r="AI550" i="1" s="1"/>
  <c r="AO475" i="1"/>
  <c r="AI500" i="1" s="1"/>
  <c r="AK423" i="1"/>
  <c r="AP376" i="1"/>
  <c r="AI382" i="1" s="1"/>
  <c r="AI402" i="1" s="1"/>
  <c r="AP367" i="1"/>
  <c r="AI393" i="1" s="1"/>
  <c r="AO525" i="1"/>
  <c r="AI549" i="1" s="1"/>
  <c r="AO482" i="1"/>
  <c r="AI489" i="1" s="1"/>
  <c r="AI509" i="1" s="1"/>
  <c r="AP472" i="1"/>
  <c r="AI498" i="1" s="1"/>
  <c r="AO419" i="1"/>
  <c r="AI443" i="1" s="1"/>
  <c r="AP417" i="1"/>
  <c r="AI442" i="1" s="1"/>
  <c r="AO367" i="1"/>
  <c r="AI392" i="1" s="1"/>
  <c r="AK315" i="1"/>
  <c r="AP260" i="1"/>
  <c r="AI287" i="1" s="1"/>
  <c r="AO257" i="1"/>
  <c r="AI281" i="1" s="1"/>
  <c r="AP255" i="1"/>
  <c r="AI280" i="1" s="1"/>
  <c r="AP205" i="1"/>
  <c r="AI231" i="1" s="1"/>
  <c r="AK153" i="1"/>
  <c r="AP52" i="1"/>
  <c r="AI58" i="1" s="1"/>
  <c r="AP43" i="1"/>
  <c r="AI69" i="1" s="1"/>
  <c r="AO39" i="1"/>
  <c r="AI63" i="1" s="1"/>
  <c r="AO417" i="1"/>
  <c r="AI441" i="1" s="1"/>
  <c r="AO374" i="1"/>
  <c r="AI381" i="1" s="1"/>
  <c r="AI401" i="1" s="1"/>
  <c r="AP364" i="1"/>
  <c r="AI390" i="1" s="1"/>
  <c r="AP268" i="1"/>
  <c r="AI274" i="1" s="1"/>
  <c r="AP259" i="1"/>
  <c r="AI285" i="1" s="1"/>
  <c r="AO255" i="1"/>
  <c r="AI279" i="1" s="1"/>
  <c r="AO212" i="1"/>
  <c r="AI219" i="1" s="1"/>
  <c r="AI239" i="1" s="1"/>
  <c r="AO205" i="1"/>
  <c r="AI230" i="1" s="1"/>
  <c r="AP202" i="1"/>
  <c r="AI228" i="1" s="1"/>
  <c r="AK374" i="1"/>
  <c r="AP309" i="1"/>
  <c r="AI334" i="1" s="1"/>
  <c r="AO259" i="1"/>
  <c r="AI284" i="1" s="1"/>
  <c r="AP530" i="1"/>
  <c r="AI557" i="1" s="1"/>
  <c r="AK482" i="1"/>
  <c r="AO477" i="1"/>
  <c r="AI502" i="1" s="1"/>
  <c r="AP147" i="1"/>
  <c r="AI172" i="1" s="1"/>
  <c r="AP98" i="1"/>
  <c r="AI125" i="1" s="1"/>
  <c r="AO45" i="1"/>
  <c r="AI70" i="1" s="1"/>
  <c r="AK212" i="1"/>
  <c r="AO207" i="1"/>
  <c r="AI232" i="1" s="1"/>
  <c r="AK50" i="1"/>
  <c r="AO149" i="1"/>
  <c r="AI173" i="1" s="1"/>
  <c r="AO50" i="1"/>
  <c r="AI57" i="1" s="1"/>
  <c r="AI77" i="1" s="1"/>
  <c r="AO93" i="1"/>
  <c r="AI117" i="1" s="1"/>
  <c r="AP40" i="1"/>
  <c r="AI66" i="1" s="1"/>
  <c r="AN434" i="1"/>
  <c r="AN326" i="1"/>
  <c r="AN164" i="1"/>
  <c r="AN218" i="1"/>
  <c r="AN54" i="1"/>
  <c r="AN488" i="1"/>
  <c r="AN380" i="1"/>
  <c r="AN272" i="1"/>
  <c r="AN542" i="1"/>
  <c r="AN110" i="1"/>
  <c r="AO533" i="1"/>
  <c r="AZ481" i="1"/>
  <c r="AO425" i="1"/>
  <c r="AZ373" i="1"/>
  <c r="AZ211" i="1"/>
  <c r="AO101" i="1"/>
  <c r="AZ528" i="1"/>
  <c r="AO317" i="1"/>
  <c r="AZ258" i="1"/>
  <c r="AO155" i="1"/>
  <c r="AZ49" i="1"/>
  <c r="AZ420" i="1"/>
  <c r="AZ265" i="1"/>
  <c r="AZ96" i="1"/>
  <c r="AZ312" i="1"/>
  <c r="AO209" i="1"/>
  <c r="AZ150" i="1"/>
  <c r="AZ103" i="1"/>
  <c r="AZ535" i="1"/>
  <c r="AO479" i="1"/>
  <c r="AZ427" i="1"/>
  <c r="AO371" i="1"/>
  <c r="AZ319" i="1"/>
  <c r="AZ157" i="1"/>
  <c r="AO47" i="1"/>
  <c r="AZ366" i="1"/>
  <c r="AO263" i="1"/>
  <c r="AZ474" i="1"/>
  <c r="AZ42" i="1"/>
  <c r="AZ204" i="1"/>
  <c r="X42" i="1"/>
  <c r="X481" i="1"/>
  <c r="X373" i="1"/>
  <c r="X265" i="1"/>
  <c r="X157" i="1"/>
  <c r="X150" i="1"/>
  <c r="X528" i="1"/>
  <c r="X420" i="1"/>
  <c r="X312" i="1"/>
  <c r="X204" i="1"/>
  <c r="X96" i="1"/>
  <c r="X535" i="1"/>
  <c r="X427" i="1"/>
  <c r="X319" i="1"/>
  <c r="X211" i="1"/>
  <c r="X103" i="1"/>
  <c r="X474" i="1"/>
  <c r="X366" i="1"/>
  <c r="X258" i="1"/>
  <c r="AN274" i="1"/>
  <c r="AN328" i="1"/>
  <c r="AN382" i="1"/>
  <c r="AN544" i="1"/>
  <c r="AN112" i="1"/>
  <c r="AN166" i="1"/>
  <c r="AN436" i="1"/>
  <c r="AN490" i="1"/>
  <c r="AN220" i="1"/>
  <c r="AN56" i="1"/>
  <c r="AZ526" i="1"/>
  <c r="AZ471" i="1"/>
  <c r="BA532" i="1"/>
  <c r="BA476" i="1"/>
  <c r="BA473" i="1"/>
  <c r="AZ418" i="1"/>
  <c r="AZ363" i="1"/>
  <c r="AZ261" i="1"/>
  <c r="AZ256" i="1"/>
  <c r="AZ201" i="1"/>
  <c r="AZ152" i="1"/>
  <c r="AZ531" i="1"/>
  <c r="BA525" i="1"/>
  <c r="AZ476" i="1"/>
  <c r="BA424" i="1"/>
  <c r="BA368" i="1"/>
  <c r="BA365" i="1"/>
  <c r="BA203" i="1"/>
  <c r="BA100" i="1"/>
  <c r="AZ94" i="1"/>
  <c r="BA39" i="1"/>
  <c r="AZ315" i="1"/>
  <c r="AZ255" i="1"/>
  <c r="BA41" i="1"/>
  <c r="BA309" i="1"/>
  <c r="AZ260" i="1"/>
  <c r="BA257" i="1"/>
  <c r="BA46" i="1"/>
  <c r="BA363" i="1"/>
  <c r="AZ314" i="1"/>
  <c r="AZ525" i="1"/>
  <c r="AZ423" i="1"/>
  <c r="BA417" i="1"/>
  <c r="AZ368" i="1"/>
  <c r="BA316" i="1"/>
  <c r="AZ310" i="1"/>
  <c r="BA255" i="1"/>
  <c r="BA206" i="1"/>
  <c r="BA154" i="1"/>
  <c r="AZ148" i="1"/>
  <c r="AZ99" i="1"/>
  <c r="BA44" i="1"/>
  <c r="AZ39" i="1"/>
  <c r="BA260" i="1"/>
  <c r="AZ206" i="1"/>
  <c r="AZ153" i="1"/>
  <c r="BA93" i="1"/>
  <c r="AZ44" i="1"/>
  <c r="BA147" i="1"/>
  <c r="AZ93" i="1"/>
  <c r="BA527" i="1"/>
  <c r="AZ417" i="1"/>
  <c r="BA530" i="1"/>
  <c r="BA478" i="1"/>
  <c r="AZ472" i="1"/>
  <c r="BA419" i="1"/>
  <c r="AZ530" i="1"/>
  <c r="AZ477" i="1"/>
  <c r="BA422" i="1"/>
  <c r="BA370" i="1"/>
  <c r="AZ364" i="1"/>
  <c r="AZ309" i="1"/>
  <c r="BA208" i="1"/>
  <c r="AZ202" i="1"/>
  <c r="AZ147" i="1"/>
  <c r="BA98" i="1"/>
  <c r="BA95" i="1"/>
  <c r="AZ369" i="1"/>
  <c r="BA314" i="1"/>
  <c r="BA311" i="1"/>
  <c r="AZ207" i="1"/>
  <c r="BA149" i="1"/>
  <c r="AZ98" i="1"/>
  <c r="BA471" i="1"/>
  <c r="AZ422" i="1"/>
  <c r="BA201" i="1"/>
  <c r="BA152" i="1"/>
  <c r="AZ40" i="1"/>
  <c r="AZ45" i="1"/>
  <c r="BA262" i="1"/>
  <c r="X531" i="1"/>
  <c r="Y473" i="1"/>
  <c r="X423" i="1"/>
  <c r="Y365" i="1"/>
  <c r="X315" i="1"/>
  <c r="Y257" i="1"/>
  <c r="X207" i="1"/>
  <c r="Y149" i="1"/>
  <c r="X99" i="1"/>
  <c r="Y206" i="1"/>
  <c r="Y98" i="1"/>
  <c r="X417" i="1"/>
  <c r="Y100" i="1"/>
  <c r="Y530" i="1"/>
  <c r="X472" i="1"/>
  <c r="Y422" i="1"/>
  <c r="X364" i="1"/>
  <c r="Y314" i="1"/>
  <c r="X256" i="1"/>
  <c r="X148" i="1"/>
  <c r="X98" i="1"/>
  <c r="X530" i="1"/>
  <c r="Y471" i="1"/>
  <c r="X422" i="1"/>
  <c r="Y363" i="1"/>
  <c r="X314" i="1"/>
  <c r="Y255" i="1"/>
  <c r="X206" i="1"/>
  <c r="Y147" i="1"/>
  <c r="Y316" i="1"/>
  <c r="Y478" i="1"/>
  <c r="X471" i="1"/>
  <c r="Y370" i="1"/>
  <c r="X363" i="1"/>
  <c r="Y262" i="1"/>
  <c r="X255" i="1"/>
  <c r="Y154" i="1"/>
  <c r="X147" i="1"/>
  <c r="Y532" i="1"/>
  <c r="X309" i="1"/>
  <c r="Y527" i="1"/>
  <c r="X477" i="1"/>
  <c r="Y419" i="1"/>
  <c r="X369" i="1"/>
  <c r="Y311" i="1"/>
  <c r="X261" i="1"/>
  <c r="Y203" i="1"/>
  <c r="X153" i="1"/>
  <c r="Y95" i="1"/>
  <c r="Y424" i="1"/>
  <c r="X201" i="1"/>
  <c r="X526" i="1"/>
  <c r="Y476" i="1"/>
  <c r="X418" i="1"/>
  <c r="Y368" i="1"/>
  <c r="X310" i="1"/>
  <c r="Y260" i="1"/>
  <c r="X202" i="1"/>
  <c r="Y152" i="1"/>
  <c r="X94" i="1"/>
  <c r="X93" i="1"/>
  <c r="Y525" i="1"/>
  <c r="X476" i="1"/>
  <c r="Y417" i="1"/>
  <c r="X368" i="1"/>
  <c r="Y309" i="1"/>
  <c r="X260" i="1"/>
  <c r="Y201" i="1"/>
  <c r="X152" i="1"/>
  <c r="Y93" i="1"/>
  <c r="X525" i="1"/>
  <c r="Y208" i="1"/>
  <c r="AJ72" i="3"/>
  <c r="AJ183" i="3"/>
  <c r="AJ331" i="3"/>
  <c r="AJ146" i="3"/>
  <c r="AJ294" i="3"/>
  <c r="AJ220" i="3"/>
  <c r="AJ109" i="3"/>
  <c r="AJ368" i="3"/>
  <c r="AJ257" i="3"/>
  <c r="AJ35" i="3"/>
  <c r="X109" i="3"/>
  <c r="X72" i="3"/>
  <c r="X146" i="3"/>
  <c r="X368" i="3"/>
  <c r="X331" i="3"/>
  <c r="X35" i="3"/>
  <c r="X294" i="3"/>
  <c r="X257" i="3"/>
  <c r="X183" i="3"/>
  <c r="X220" i="3"/>
  <c r="L219" i="1"/>
  <c r="L381" i="1"/>
  <c r="L435" i="1"/>
  <c r="L327" i="1"/>
  <c r="L489" i="1"/>
  <c r="L273" i="1"/>
  <c r="L543" i="1"/>
  <c r="M326" i="1"/>
  <c r="M380" i="1"/>
  <c r="M434" i="1"/>
  <c r="M488" i="1"/>
  <c r="M542" i="1"/>
  <c r="M272" i="1"/>
  <c r="M275" i="1"/>
  <c r="G275" i="1" s="1"/>
  <c r="M545" i="1"/>
  <c r="G545" i="1" s="1"/>
  <c r="M329" i="1"/>
  <c r="G329" i="1" s="1"/>
  <c r="M383" i="1"/>
  <c r="G383" i="1" s="1"/>
  <c r="M437" i="1"/>
  <c r="G437" i="1" s="1"/>
  <c r="M491" i="1"/>
  <c r="G491" i="1" s="1"/>
  <c r="M220" i="1"/>
  <c r="M490" i="1"/>
  <c r="M274" i="1"/>
  <c r="M544" i="1"/>
  <c r="M328" i="1"/>
  <c r="M436" i="1"/>
  <c r="M382" i="1"/>
  <c r="M219" i="1"/>
  <c r="M435" i="1"/>
  <c r="M489" i="1"/>
  <c r="M381" i="1"/>
  <c r="M273" i="1"/>
  <c r="M543" i="1"/>
  <c r="M327" i="1"/>
  <c r="M372" i="1"/>
  <c r="M426" i="1"/>
  <c r="M480" i="1"/>
  <c r="M264" i="1"/>
  <c r="M534" i="1"/>
  <c r="M318" i="1"/>
  <c r="L221" i="1"/>
  <c r="L491" i="1"/>
  <c r="L275" i="1"/>
  <c r="L545" i="1"/>
  <c r="L329" i="1"/>
  <c r="L383" i="1"/>
  <c r="L437" i="1"/>
  <c r="N484" i="1"/>
  <c r="G490" i="1" s="1"/>
  <c r="N475" i="1"/>
  <c r="G501" i="1" s="1"/>
  <c r="I428" i="1"/>
  <c r="I423" i="1"/>
  <c r="M417" i="1"/>
  <c r="G441" i="1" s="1"/>
  <c r="M365" i="1"/>
  <c r="G389" i="1" s="1"/>
  <c r="N310" i="1"/>
  <c r="G336" i="1" s="1"/>
  <c r="M363" i="1"/>
  <c r="G387" i="1" s="1"/>
  <c r="M482" i="1"/>
  <c r="G489" i="1" s="1"/>
  <c r="G509" i="1" s="1"/>
  <c r="M477" i="1"/>
  <c r="G502" i="1" s="1"/>
  <c r="M475" i="1"/>
  <c r="G500" i="1" s="1"/>
  <c r="N471" i="1"/>
  <c r="G496" i="1" s="1"/>
  <c r="M419" i="1"/>
  <c r="G443" i="1" s="1"/>
  <c r="N368" i="1"/>
  <c r="G395" i="1" s="1"/>
  <c r="N268" i="1"/>
  <c r="G274" i="1" s="1"/>
  <c r="G294" i="1" s="1"/>
  <c r="N259" i="1"/>
  <c r="G285" i="1" s="1"/>
  <c r="M428" i="1"/>
  <c r="G435" i="1" s="1"/>
  <c r="G455" i="1" s="1"/>
  <c r="I369" i="1"/>
  <c r="N538" i="1"/>
  <c r="G544" i="1" s="1"/>
  <c r="G564" i="1" s="1"/>
  <c r="N529" i="1"/>
  <c r="G555" i="1" s="1"/>
  <c r="I482" i="1"/>
  <c r="I477" i="1"/>
  <c r="M471" i="1"/>
  <c r="G495" i="1" s="1"/>
  <c r="S479" i="1" s="1"/>
  <c r="N422" i="1"/>
  <c r="G449" i="1" s="1"/>
  <c r="N364" i="1"/>
  <c r="G390" i="1" s="1"/>
  <c r="M266" i="1"/>
  <c r="G273" i="1" s="1"/>
  <c r="G293" i="1" s="1"/>
  <c r="M261" i="1"/>
  <c r="G286" i="1" s="1"/>
  <c r="M259" i="1"/>
  <c r="G284" i="1" s="1"/>
  <c r="N255" i="1"/>
  <c r="G280" i="1" s="1"/>
  <c r="N526" i="1"/>
  <c r="G552" i="1" s="1"/>
  <c r="M423" i="1"/>
  <c r="G448" i="1" s="1"/>
  <c r="M536" i="1"/>
  <c r="G543" i="1" s="1"/>
  <c r="G563" i="1" s="1"/>
  <c r="M531" i="1"/>
  <c r="G556" i="1" s="1"/>
  <c r="M529" i="1"/>
  <c r="G554" i="1" s="1"/>
  <c r="N525" i="1"/>
  <c r="G550" i="1" s="1"/>
  <c r="M473" i="1"/>
  <c r="G497" i="1" s="1"/>
  <c r="N418" i="1"/>
  <c r="G444" i="1" s="1"/>
  <c r="N322" i="1"/>
  <c r="G328" i="1" s="1"/>
  <c r="N313" i="1"/>
  <c r="G339" i="1" s="1"/>
  <c r="I266" i="1"/>
  <c r="I261" i="1"/>
  <c r="M255" i="1"/>
  <c r="G279" i="1" s="1"/>
  <c r="I536" i="1"/>
  <c r="I531" i="1"/>
  <c r="M525" i="1"/>
  <c r="G549" i="1" s="1"/>
  <c r="N476" i="1"/>
  <c r="G503" i="1" s="1"/>
  <c r="N376" i="1"/>
  <c r="G382" i="1" s="1"/>
  <c r="M320" i="1"/>
  <c r="G327" i="1" s="1"/>
  <c r="G347" i="1" s="1"/>
  <c r="M315" i="1"/>
  <c r="G340" i="1" s="1"/>
  <c r="M313" i="1"/>
  <c r="G338" i="1" s="1"/>
  <c r="N309" i="1"/>
  <c r="G334" i="1" s="1"/>
  <c r="M257" i="1"/>
  <c r="G281" i="1" s="1"/>
  <c r="M421" i="1"/>
  <c r="G446" i="1" s="1"/>
  <c r="N314" i="1"/>
  <c r="G341" i="1" s="1"/>
  <c r="M527" i="1"/>
  <c r="G551" i="1" s="1"/>
  <c r="N472" i="1"/>
  <c r="G498" i="1" s="1"/>
  <c r="M374" i="1"/>
  <c r="G381" i="1" s="1"/>
  <c r="G401" i="1" s="1"/>
  <c r="N367" i="1"/>
  <c r="G393" i="1" s="1"/>
  <c r="I320" i="1"/>
  <c r="I315" i="1"/>
  <c r="M309" i="1"/>
  <c r="G333" i="1" s="1"/>
  <c r="N260" i="1"/>
  <c r="G287" i="1" s="1"/>
  <c r="N530" i="1"/>
  <c r="G557" i="1" s="1"/>
  <c r="N430" i="1"/>
  <c r="G436" i="1" s="1"/>
  <c r="G456" i="1" s="1"/>
  <c r="N421" i="1"/>
  <c r="G447" i="1" s="1"/>
  <c r="I374" i="1"/>
  <c r="M369" i="1"/>
  <c r="G394" i="1" s="1"/>
  <c r="M367" i="1"/>
  <c r="G392" i="1" s="1"/>
  <c r="N363" i="1"/>
  <c r="G388" i="1" s="1"/>
  <c r="M311" i="1"/>
  <c r="G335" i="1" s="1"/>
  <c r="N256" i="1"/>
  <c r="G282" i="1" s="1"/>
  <c r="N417" i="1"/>
  <c r="G442" i="1" s="1"/>
  <c r="L218" i="1"/>
  <c r="L542" i="1"/>
  <c r="L326" i="1"/>
  <c r="L380" i="1"/>
  <c r="L272" i="1"/>
  <c r="L434" i="1"/>
  <c r="L488" i="1"/>
  <c r="M533" i="1"/>
  <c r="M317" i="1"/>
  <c r="M371" i="1"/>
  <c r="M425" i="1"/>
  <c r="M479" i="1"/>
  <c r="M263" i="1"/>
  <c r="L220" i="1"/>
  <c r="L436" i="1"/>
  <c r="L490" i="1"/>
  <c r="L274" i="1"/>
  <c r="L544" i="1"/>
  <c r="L328" i="1"/>
  <c r="L382" i="1"/>
  <c r="M218" i="1"/>
  <c r="M113" i="1"/>
  <c r="G113" i="1" s="1"/>
  <c r="M221" i="1"/>
  <c r="G221" i="1" s="1"/>
  <c r="G241" i="1" s="1"/>
  <c r="M210" i="1"/>
  <c r="M212" i="1"/>
  <c r="G219" i="1" s="1"/>
  <c r="G239" i="1" s="1"/>
  <c r="N202" i="1"/>
  <c r="G228" i="1" s="1"/>
  <c r="I212" i="1"/>
  <c r="N205" i="1"/>
  <c r="G231" i="1" s="1"/>
  <c r="M207" i="1"/>
  <c r="G232" i="1" s="1"/>
  <c r="M205" i="1"/>
  <c r="G230" i="1" s="1"/>
  <c r="I207" i="1"/>
  <c r="M203" i="1"/>
  <c r="G227" i="1" s="1"/>
  <c r="N201" i="1"/>
  <c r="G226" i="1" s="1"/>
  <c r="N214" i="1"/>
  <c r="G220" i="1" s="1"/>
  <c r="N206" i="1"/>
  <c r="G233" i="1" s="1"/>
  <c r="M201" i="1"/>
  <c r="G225" i="1" s="1"/>
  <c r="M209" i="1"/>
  <c r="L165" i="1"/>
  <c r="L111" i="1"/>
  <c r="M164" i="1"/>
  <c r="M110" i="1"/>
  <c r="M166" i="1"/>
  <c r="M112" i="1"/>
  <c r="M165" i="1"/>
  <c r="M111" i="1"/>
  <c r="M156" i="1"/>
  <c r="M102" i="1"/>
  <c r="L167" i="1"/>
  <c r="L113" i="1"/>
  <c r="M95" i="1"/>
  <c r="G119" i="1" s="1"/>
  <c r="N93" i="1"/>
  <c r="G118" i="1" s="1"/>
  <c r="N98" i="1"/>
  <c r="G125" i="1" s="1"/>
  <c r="N106" i="1"/>
  <c r="G112" i="1" s="1"/>
  <c r="N94" i="1"/>
  <c r="G120" i="1" s="1"/>
  <c r="M93" i="1"/>
  <c r="G117" i="1" s="1"/>
  <c r="N97" i="1"/>
  <c r="G123" i="1" s="1"/>
  <c r="M104" i="1"/>
  <c r="G111" i="1" s="1"/>
  <c r="G131" i="1" s="1"/>
  <c r="M99" i="1"/>
  <c r="G124" i="1" s="1"/>
  <c r="M97" i="1"/>
  <c r="G122" i="1" s="1"/>
  <c r="I104" i="1"/>
  <c r="I99" i="1"/>
  <c r="L164" i="1"/>
  <c r="L110" i="1"/>
  <c r="M155" i="1"/>
  <c r="M101" i="1"/>
  <c r="L166" i="1"/>
  <c r="L112" i="1"/>
  <c r="M147" i="1"/>
  <c r="G171" i="1" s="1"/>
  <c r="N147" i="1"/>
  <c r="G172" i="1" s="1"/>
  <c r="N148" i="1"/>
  <c r="G174" i="1" s="1"/>
  <c r="I158" i="1"/>
  <c r="I153" i="1"/>
  <c r="M167" i="1"/>
  <c r="G167" i="1" s="1"/>
  <c r="N151" i="1"/>
  <c r="G177" i="1" s="1"/>
  <c r="M151" i="1"/>
  <c r="G176" i="1" s="1"/>
  <c r="N160" i="1"/>
  <c r="G166" i="1" s="1"/>
  <c r="M149" i="1"/>
  <c r="G173" i="1" s="1"/>
  <c r="M158" i="1"/>
  <c r="G165" i="1" s="1"/>
  <c r="G185" i="1" s="1"/>
  <c r="N152" i="1"/>
  <c r="G179" i="1" s="1"/>
  <c r="M153" i="1"/>
  <c r="G178" i="1" s="1"/>
  <c r="L55" i="1"/>
  <c r="M54" i="1"/>
  <c r="X51" i="1"/>
  <c r="M57" i="1"/>
  <c r="G59" i="1" s="1"/>
  <c r="M56" i="1"/>
  <c r="M55" i="1"/>
  <c r="X48" i="1"/>
  <c r="M48" i="1"/>
  <c r="L57" i="1"/>
  <c r="M45" i="1"/>
  <c r="G70" i="1" s="1"/>
  <c r="N40" i="1"/>
  <c r="G66" i="1" s="1"/>
  <c r="N43" i="1"/>
  <c r="G69" i="1" s="1"/>
  <c r="N44" i="1"/>
  <c r="G71" i="1" s="1"/>
  <c r="M41" i="1"/>
  <c r="G65" i="1" s="1"/>
  <c r="M43" i="1"/>
  <c r="G68" i="1" s="1"/>
  <c r="M39" i="1"/>
  <c r="G63" i="1" s="1"/>
  <c r="I50" i="1"/>
  <c r="I45" i="1"/>
  <c r="M50" i="1"/>
  <c r="G57" i="1" s="1"/>
  <c r="G77" i="1" s="1"/>
  <c r="N52" i="1"/>
  <c r="G58" i="1" s="1"/>
  <c r="N39" i="1"/>
  <c r="G64" i="1" s="1"/>
  <c r="L54" i="1"/>
  <c r="M47" i="1"/>
  <c r="X49" i="1"/>
  <c r="L56" i="1"/>
  <c r="X39" i="1"/>
  <c r="Y39" i="1"/>
  <c r="X44" i="1"/>
  <c r="Y44" i="1"/>
  <c r="X45" i="1"/>
  <c r="Y46" i="1"/>
  <c r="Y41" i="1"/>
  <c r="X40" i="1"/>
  <c r="AI294" i="1" l="1"/>
  <c r="AI186" i="1"/>
  <c r="G240" i="1"/>
  <c r="G402" i="1"/>
  <c r="AU53" i="1"/>
  <c r="AU322" i="1"/>
  <c r="AU430" i="1"/>
  <c r="AI295" i="1"/>
  <c r="BG57" i="1" s="1"/>
  <c r="H22" i="25" s="1"/>
  <c r="AI565" i="1"/>
  <c r="G348" i="1"/>
  <c r="AI564" i="1"/>
  <c r="AI403" i="1"/>
  <c r="AI348" i="1"/>
  <c r="AU485" i="1"/>
  <c r="AU106" i="1"/>
  <c r="AU268" i="1"/>
  <c r="S538" i="1"/>
  <c r="AU376" i="1"/>
  <c r="S214" i="1"/>
  <c r="AU377" i="1"/>
  <c r="AU484" i="1"/>
  <c r="AU52" i="1"/>
  <c r="S155" i="1"/>
  <c r="S209" i="1"/>
  <c r="S263" i="1"/>
  <c r="AU542" i="1"/>
  <c r="AU534" i="1"/>
  <c r="AI560" i="1"/>
  <c r="AI569" i="1" s="1"/>
  <c r="AU264" i="1"/>
  <c r="AI290" i="1"/>
  <c r="AI299" i="1" s="1"/>
  <c r="AU272" i="1"/>
  <c r="AI559" i="1"/>
  <c r="AI568" i="1" s="1"/>
  <c r="AU533" i="1"/>
  <c r="AU479" i="1"/>
  <c r="AI505" i="1"/>
  <c r="AI514" i="1" s="1"/>
  <c r="AU323" i="1"/>
  <c r="AU269" i="1"/>
  <c r="S317" i="1"/>
  <c r="AU107" i="1"/>
  <c r="AU425" i="1"/>
  <c r="AI451" i="1"/>
  <c r="AI460" i="1" s="1"/>
  <c r="AI511" i="1"/>
  <c r="BG63" i="1" s="1"/>
  <c r="H28" i="25" s="1"/>
  <c r="AU317" i="1"/>
  <c r="AI343" i="1"/>
  <c r="AI352" i="1" s="1"/>
  <c r="AI506" i="1"/>
  <c r="AI515" i="1" s="1"/>
  <c r="AU488" i="1"/>
  <c r="AU480" i="1"/>
  <c r="G186" i="1"/>
  <c r="AI127" i="1"/>
  <c r="AI136" i="1" s="1"/>
  <c r="AU101" i="1"/>
  <c r="AU214" i="1"/>
  <c r="AU47" i="1"/>
  <c r="AI73" i="1"/>
  <c r="AI82" i="1" s="1"/>
  <c r="AU160" i="1"/>
  <c r="AU218" i="1"/>
  <c r="AU210" i="1"/>
  <c r="AI236" i="1"/>
  <c r="AI245" i="1" s="1"/>
  <c r="AU539" i="1"/>
  <c r="AI132" i="1"/>
  <c r="AI241" i="1"/>
  <c r="BG56" i="1" s="1"/>
  <c r="H21" i="25" s="1"/>
  <c r="AI181" i="1"/>
  <c r="AI190" i="1" s="1"/>
  <c r="AU155" i="1"/>
  <c r="AI187" i="1"/>
  <c r="AU380" i="1"/>
  <c r="AI398" i="1"/>
  <c r="AI407" i="1" s="1"/>
  <c r="AU372" i="1"/>
  <c r="AI182" i="1"/>
  <c r="AI191" i="1" s="1"/>
  <c r="AU156" i="1"/>
  <c r="AU164" i="1"/>
  <c r="AI289" i="1"/>
  <c r="AI298" i="1" s="1"/>
  <c r="AU263" i="1"/>
  <c r="AI78" i="1"/>
  <c r="BG59" i="1" s="1"/>
  <c r="H24" i="25" s="1"/>
  <c r="AU209" i="1"/>
  <c r="AI235" i="1"/>
  <c r="AI244" i="1" s="1"/>
  <c r="AI128" i="1"/>
  <c r="AI137" i="1" s="1"/>
  <c r="AU110" i="1"/>
  <c r="AU102" i="1"/>
  <c r="AU538" i="1"/>
  <c r="AI349" i="1"/>
  <c r="AU426" i="1"/>
  <c r="AU434" i="1"/>
  <c r="AI452" i="1"/>
  <c r="AI461" i="1" s="1"/>
  <c r="AU326" i="1"/>
  <c r="AI344" i="1"/>
  <c r="AI353" i="1" s="1"/>
  <c r="AU318" i="1"/>
  <c r="AU215" i="1"/>
  <c r="AI397" i="1"/>
  <c r="AI406" i="1" s="1"/>
  <c r="AU371" i="1"/>
  <c r="AU56" i="1"/>
  <c r="AU48" i="1"/>
  <c r="AI74" i="1"/>
  <c r="AI83" i="1" s="1"/>
  <c r="AU161" i="1"/>
  <c r="AU431" i="1"/>
  <c r="AI133" i="1"/>
  <c r="AI457" i="1"/>
  <c r="S533" i="1"/>
  <c r="S322" i="1"/>
  <c r="AN308" i="3"/>
  <c r="AM322" i="3" s="1"/>
  <c r="AM328" i="3" s="1"/>
  <c r="AV61" i="3" s="1"/>
  <c r="B27" i="25" s="1"/>
  <c r="D61" i="25" s="1"/>
  <c r="AO312" i="3"/>
  <c r="AO313" i="3"/>
  <c r="AO314" i="3"/>
  <c r="AN311" i="3"/>
  <c r="AN313" i="3"/>
  <c r="AO315" i="3"/>
  <c r="AN312" i="3"/>
  <c r="AN315" i="3"/>
  <c r="AO311" i="3"/>
  <c r="AN314" i="3"/>
  <c r="AN317" i="3"/>
  <c r="AO317" i="3"/>
  <c r="AB243" i="3"/>
  <c r="AC237" i="3"/>
  <c r="AC238" i="3"/>
  <c r="AB241" i="3"/>
  <c r="AB234" i="3"/>
  <c r="AA248" i="3" s="1"/>
  <c r="AA254" i="3" s="1"/>
  <c r="AV44" i="3" s="1"/>
  <c r="B10" i="25" s="1"/>
  <c r="AC240" i="3"/>
  <c r="AB237" i="3"/>
  <c r="AB240" i="3"/>
  <c r="AC239" i="3"/>
  <c r="AB238" i="3"/>
  <c r="AB239" i="3"/>
  <c r="AC243" i="3"/>
  <c r="AC241" i="3"/>
  <c r="AN160" i="3"/>
  <c r="AM174" i="3" s="1"/>
  <c r="AM180" i="3" s="1"/>
  <c r="AV55" i="3" s="1"/>
  <c r="B21" i="25" s="1"/>
  <c r="AO169" i="3"/>
  <c r="AN167" i="3"/>
  <c r="AN163" i="3"/>
  <c r="AN166" i="3"/>
  <c r="AN165" i="3"/>
  <c r="AO166" i="3"/>
  <c r="AO164" i="3"/>
  <c r="AO167" i="3"/>
  <c r="AN164" i="3"/>
  <c r="AO165" i="3"/>
  <c r="AN169" i="3"/>
  <c r="AO163" i="3"/>
  <c r="AB197" i="3"/>
  <c r="AA211" i="3" s="1"/>
  <c r="AA217" i="3" s="1"/>
  <c r="AV43" i="3" s="1"/>
  <c r="B9" i="25" s="1"/>
  <c r="AB206" i="3"/>
  <c r="AC204" i="3"/>
  <c r="AC200" i="3"/>
  <c r="AC203" i="3"/>
  <c r="AC202" i="3"/>
  <c r="AB203" i="3"/>
  <c r="AB202" i="3"/>
  <c r="AC201" i="3"/>
  <c r="AB204" i="3"/>
  <c r="AC206" i="3"/>
  <c r="AB201" i="3"/>
  <c r="AB200" i="3"/>
  <c r="AB127" i="3"/>
  <c r="AB123" i="3"/>
  <c r="AA137" i="3" s="1"/>
  <c r="AA143" i="3" s="1"/>
  <c r="AV41" i="3" s="1"/>
  <c r="B7" i="25" s="1"/>
  <c r="D41" i="25" s="1"/>
  <c r="AB130" i="3"/>
  <c r="AB126" i="3"/>
  <c r="AB128" i="3"/>
  <c r="AC128" i="3"/>
  <c r="AC132" i="3"/>
  <c r="AC129" i="3"/>
  <c r="AC130" i="3"/>
  <c r="AB129" i="3"/>
  <c r="AB132" i="3"/>
  <c r="AC127" i="3"/>
  <c r="AC126" i="3"/>
  <c r="AN345" i="3"/>
  <c r="AM359" i="3" s="1"/>
  <c r="AM365" i="3" s="1"/>
  <c r="AV62" i="3" s="1"/>
  <c r="B28" i="25" s="1"/>
  <c r="AO352" i="3"/>
  <c r="AO354" i="3"/>
  <c r="AO348" i="3"/>
  <c r="AN352" i="3"/>
  <c r="AN349" i="3"/>
  <c r="AN348" i="3"/>
  <c r="AO351" i="3"/>
  <c r="AN354" i="3"/>
  <c r="AO350" i="3"/>
  <c r="AN351" i="3"/>
  <c r="AN350" i="3"/>
  <c r="AO349" i="3"/>
  <c r="AC164" i="3"/>
  <c r="AC165" i="3"/>
  <c r="AB166" i="3"/>
  <c r="AC167" i="3"/>
  <c r="AB164" i="3"/>
  <c r="AC163" i="3"/>
  <c r="AB160" i="3"/>
  <c r="AA174" i="3" s="1"/>
  <c r="AA180" i="3" s="1"/>
  <c r="AV42" i="3" s="1"/>
  <c r="B8" i="25" s="1"/>
  <c r="AC169" i="3"/>
  <c r="AB165" i="3"/>
  <c r="AB169" i="3"/>
  <c r="AB167" i="3"/>
  <c r="AC166" i="3"/>
  <c r="AB163" i="3"/>
  <c r="AB90" i="3"/>
  <c r="AC91" i="3"/>
  <c r="AB91" i="3"/>
  <c r="AC93" i="3"/>
  <c r="AB95" i="3"/>
  <c r="AC89" i="3"/>
  <c r="AC95" i="3"/>
  <c r="AC92" i="3"/>
  <c r="AB93" i="3"/>
  <c r="AC90" i="3"/>
  <c r="AB86" i="3"/>
  <c r="AA100" i="3" s="1"/>
  <c r="AA106" i="3" s="1"/>
  <c r="AV39" i="3" s="1"/>
  <c r="B5" i="25" s="1"/>
  <c r="D39" i="25" s="1"/>
  <c r="R39" i="25" s="1"/>
  <c r="AB92" i="3"/>
  <c r="AB89" i="3"/>
  <c r="AB280" i="3"/>
  <c r="AB276" i="3"/>
  <c r="AC275" i="3"/>
  <c r="AC278" i="3"/>
  <c r="AB275" i="3"/>
  <c r="AC274" i="3"/>
  <c r="AC280" i="3"/>
  <c r="AC276" i="3"/>
  <c r="AB271" i="3"/>
  <c r="AA285" i="3" s="1"/>
  <c r="AA291" i="3" s="1"/>
  <c r="AV46" i="3" s="1"/>
  <c r="B12" i="25" s="1"/>
  <c r="D46" i="25" s="1"/>
  <c r="R45" i="25" s="1"/>
  <c r="AB277" i="3"/>
  <c r="AB278" i="3"/>
  <c r="AC277" i="3"/>
  <c r="AB274" i="3"/>
  <c r="AN49" i="3"/>
  <c r="AM63" i="3" s="1"/>
  <c r="AM69" i="3" s="1"/>
  <c r="AV58" i="3" s="1"/>
  <c r="B24" i="25" s="1"/>
  <c r="AN58" i="3"/>
  <c r="AO56" i="3"/>
  <c r="AO55" i="3"/>
  <c r="AO53" i="3"/>
  <c r="AO52" i="3"/>
  <c r="AN55" i="3"/>
  <c r="AN56" i="3"/>
  <c r="AN52" i="3"/>
  <c r="AO58" i="3"/>
  <c r="AO54" i="3"/>
  <c r="AN53" i="3"/>
  <c r="AN54" i="3"/>
  <c r="AN197" i="3"/>
  <c r="AM211" i="3" s="1"/>
  <c r="AM217" i="3" s="1"/>
  <c r="AV56" i="3" s="1"/>
  <c r="B22" i="25" s="1"/>
  <c r="AO202" i="3"/>
  <c r="AO200" i="3"/>
  <c r="AO201" i="3"/>
  <c r="AO206" i="3"/>
  <c r="AN200" i="3"/>
  <c r="AN206" i="3"/>
  <c r="AN203" i="3"/>
  <c r="AO204" i="3"/>
  <c r="AN201" i="3"/>
  <c r="AN204" i="3"/>
  <c r="AO203" i="3"/>
  <c r="AN202" i="3"/>
  <c r="AN86" i="3"/>
  <c r="AM100" i="3" s="1"/>
  <c r="AM106" i="3" s="1"/>
  <c r="AV52" i="3" s="1"/>
  <c r="B18" i="25" s="1"/>
  <c r="D52" i="25" s="1"/>
  <c r="R49" i="25" s="1"/>
  <c r="AN92" i="3"/>
  <c r="AO93" i="3"/>
  <c r="AO92" i="3"/>
  <c r="AN91" i="3"/>
  <c r="AN95" i="3"/>
  <c r="AO91" i="3"/>
  <c r="AO95" i="3"/>
  <c r="AO89" i="3"/>
  <c r="AN93" i="3"/>
  <c r="AN90" i="3"/>
  <c r="AN89" i="3"/>
  <c r="AO90" i="3"/>
  <c r="AB49" i="3"/>
  <c r="AA63" i="3" s="1"/>
  <c r="AA69" i="3" s="1"/>
  <c r="AV45" i="3" s="1"/>
  <c r="B11" i="25" s="1"/>
  <c r="AC58" i="3"/>
  <c r="AB58" i="3"/>
  <c r="AC54" i="3"/>
  <c r="AB55" i="3"/>
  <c r="AB52" i="3"/>
  <c r="AC53" i="3"/>
  <c r="AC56" i="3"/>
  <c r="AB53" i="3"/>
  <c r="AB56" i="3"/>
  <c r="AC52" i="3"/>
  <c r="AC55" i="3"/>
  <c r="AB54" i="3"/>
  <c r="AN382" i="3"/>
  <c r="AM396" i="3" s="1"/>
  <c r="AM402" i="3" s="1"/>
  <c r="AV63" i="3" s="1"/>
  <c r="B29" i="25" s="1"/>
  <c r="AO387" i="3"/>
  <c r="AN387" i="3"/>
  <c r="AO386" i="3"/>
  <c r="AO389" i="3"/>
  <c r="AN386" i="3"/>
  <c r="AN391" i="3"/>
  <c r="AO385" i="3"/>
  <c r="AO388" i="3"/>
  <c r="AO391" i="3"/>
  <c r="AN388" i="3"/>
  <c r="AN385" i="3"/>
  <c r="AN389" i="3"/>
  <c r="AN271" i="3"/>
  <c r="AM285" i="3" s="1"/>
  <c r="AM291" i="3" s="1"/>
  <c r="AV59" i="3" s="1"/>
  <c r="B25" i="25" s="1"/>
  <c r="D59" i="25" s="1"/>
  <c r="R55" i="25" s="1"/>
  <c r="AO280" i="3"/>
  <c r="AO275" i="3"/>
  <c r="AO276" i="3"/>
  <c r="AO277" i="3"/>
  <c r="AO274" i="3"/>
  <c r="AN276" i="3"/>
  <c r="AN277" i="3"/>
  <c r="AO278" i="3"/>
  <c r="AN278" i="3"/>
  <c r="AN275" i="3"/>
  <c r="AN280" i="3"/>
  <c r="AN274" i="3"/>
  <c r="AB345" i="3"/>
  <c r="AA359" i="3" s="1"/>
  <c r="AA365" i="3" s="1"/>
  <c r="AV49" i="3" s="1"/>
  <c r="B15" i="25" s="1"/>
  <c r="AB352" i="3"/>
  <c r="AB354" i="3"/>
  <c r="AB348" i="3"/>
  <c r="AC352" i="3"/>
  <c r="AC349" i="3"/>
  <c r="AC348" i="3"/>
  <c r="AC351" i="3"/>
  <c r="AC350" i="3"/>
  <c r="AB349" i="3"/>
  <c r="AB351" i="3"/>
  <c r="AB350" i="3"/>
  <c r="AC354" i="3"/>
  <c r="AN123" i="3"/>
  <c r="AM137" i="3" s="1"/>
  <c r="AM143" i="3" s="1"/>
  <c r="AV54" i="3" s="1"/>
  <c r="B20" i="25" s="1"/>
  <c r="D54" i="25" s="1"/>
  <c r="AN127" i="3"/>
  <c r="AN130" i="3"/>
  <c r="AO129" i="3"/>
  <c r="AN132" i="3"/>
  <c r="AO132" i="3"/>
  <c r="AO126" i="3"/>
  <c r="AO130" i="3"/>
  <c r="AN126" i="3"/>
  <c r="AO128" i="3"/>
  <c r="AO127" i="3"/>
  <c r="AN129" i="3"/>
  <c r="AN128" i="3"/>
  <c r="AB311" i="3"/>
  <c r="AB314" i="3"/>
  <c r="AB308" i="3"/>
  <c r="AA322" i="3" s="1"/>
  <c r="AA328" i="3" s="1"/>
  <c r="AV48" i="3" s="1"/>
  <c r="B14" i="25" s="1"/>
  <c r="D48" i="25" s="1"/>
  <c r="AC313" i="3"/>
  <c r="AC317" i="3"/>
  <c r="AB312" i="3"/>
  <c r="AB313" i="3"/>
  <c r="AB317" i="3"/>
  <c r="AC314" i="3"/>
  <c r="AB315" i="3"/>
  <c r="AC312" i="3"/>
  <c r="AC315" i="3"/>
  <c r="AC311" i="3"/>
  <c r="AC385" i="3"/>
  <c r="AB388" i="3"/>
  <c r="AB389" i="3"/>
  <c r="AB386" i="3"/>
  <c r="AB385" i="3"/>
  <c r="AC386" i="3"/>
  <c r="AB382" i="3"/>
  <c r="AA396" i="3" s="1"/>
  <c r="AA402" i="3" s="1"/>
  <c r="AV50" i="3" s="1"/>
  <c r="B16" i="25" s="1"/>
  <c r="AC388" i="3"/>
  <c r="AC387" i="3"/>
  <c r="AC391" i="3"/>
  <c r="AC389" i="3"/>
  <c r="AB391" i="3"/>
  <c r="AB387" i="3"/>
  <c r="AN234" i="3"/>
  <c r="AM248" i="3" s="1"/>
  <c r="AM254" i="3" s="1"/>
  <c r="AV57" i="3" s="1"/>
  <c r="B23" i="25" s="1"/>
  <c r="AN241" i="3"/>
  <c r="AO243" i="3"/>
  <c r="AN240" i="3"/>
  <c r="AN237" i="3"/>
  <c r="AO240" i="3"/>
  <c r="AO239" i="3"/>
  <c r="AN243" i="3"/>
  <c r="AN238" i="3"/>
  <c r="AO237" i="3"/>
  <c r="AO238" i="3"/>
  <c r="AN239" i="3"/>
  <c r="AO241" i="3"/>
  <c r="S161" i="1"/>
  <c r="S484" i="1"/>
  <c r="S431" i="1"/>
  <c r="S377" i="1"/>
  <c r="S268" i="1"/>
  <c r="S107" i="1"/>
  <c r="S106" i="1"/>
  <c r="S52" i="1"/>
  <c r="S102" i="1"/>
  <c r="S110" i="1"/>
  <c r="S485" i="1"/>
  <c r="S323" i="1"/>
  <c r="S327" i="1" s="1"/>
  <c r="S539" i="1"/>
  <c r="S543" i="1" s="1"/>
  <c r="S210" i="1"/>
  <c r="S218" i="1"/>
  <c r="S371" i="1"/>
  <c r="S53" i="1"/>
  <c r="S101" i="1"/>
  <c r="S542" i="1"/>
  <c r="S534" i="1"/>
  <c r="S326" i="1"/>
  <c r="S318" i="1"/>
  <c r="S372" i="1"/>
  <c r="S380" i="1"/>
  <c r="S47" i="1"/>
  <c r="S164" i="1"/>
  <c r="S156" i="1"/>
  <c r="S215" i="1"/>
  <c r="S430" i="1"/>
  <c r="S434" i="1"/>
  <c r="S426" i="1"/>
  <c r="S425" i="1"/>
  <c r="S376" i="1"/>
  <c r="S264" i="1"/>
  <c r="S272" i="1"/>
  <c r="S480" i="1"/>
  <c r="S487" i="1" s="1"/>
  <c r="S492" i="1" s="1"/>
  <c r="S488" i="1"/>
  <c r="S160" i="1"/>
  <c r="S269" i="1"/>
  <c r="S48" i="1"/>
  <c r="S56" i="1"/>
  <c r="G457" i="1"/>
  <c r="G187" i="1"/>
  <c r="G398" i="1"/>
  <c r="G407" i="1" s="1"/>
  <c r="G343" i="1"/>
  <c r="G352" i="1" s="1"/>
  <c r="G559" i="1"/>
  <c r="G568" i="1" s="1"/>
  <c r="G452" i="1"/>
  <c r="G461" i="1" s="1"/>
  <c r="G451" i="1"/>
  <c r="G460" i="1" s="1"/>
  <c r="G403" i="1"/>
  <c r="G290" i="1"/>
  <c r="G299" i="1" s="1"/>
  <c r="G506" i="1"/>
  <c r="G515" i="1" s="1"/>
  <c r="G349" i="1"/>
  <c r="G505" i="1"/>
  <c r="G514" i="1" s="1"/>
  <c r="G565" i="1"/>
  <c r="BG51" i="1" s="1"/>
  <c r="H16" i="25" s="1"/>
  <c r="G344" i="1"/>
  <c r="G353" i="1" s="1"/>
  <c r="G289" i="1"/>
  <c r="G298" i="1" s="1"/>
  <c r="G295" i="1"/>
  <c r="BG44" i="1" s="1"/>
  <c r="H9" i="25" s="1"/>
  <c r="G78" i="1"/>
  <c r="G510" i="1"/>
  <c r="G397" i="1"/>
  <c r="G406" i="1" s="1"/>
  <c r="G560" i="1"/>
  <c r="G569" i="1" s="1"/>
  <c r="G511" i="1"/>
  <c r="G79" i="1"/>
  <c r="G132" i="1"/>
  <c r="G133" i="1"/>
  <c r="G236" i="1"/>
  <c r="G245" i="1" s="1"/>
  <c r="G249" i="1" s="1"/>
  <c r="G235" i="1"/>
  <c r="G244" i="1" s="1"/>
  <c r="G248" i="1" s="1"/>
  <c r="G127" i="1"/>
  <c r="G136" i="1" s="1"/>
  <c r="G140" i="1" s="1"/>
  <c r="G128" i="1"/>
  <c r="G137" i="1" s="1"/>
  <c r="G181" i="1"/>
  <c r="G190" i="1" s="1"/>
  <c r="G194" i="1" s="1"/>
  <c r="G182" i="1"/>
  <c r="G191" i="1" s="1"/>
  <c r="G73" i="1"/>
  <c r="G82" i="1" s="1"/>
  <c r="G74" i="1"/>
  <c r="G83" i="1" s="1"/>
  <c r="S541" i="1" l="1"/>
  <c r="S546" i="1" s="1"/>
  <c r="AU57" i="1"/>
  <c r="AU64" i="1" s="1"/>
  <c r="AU327" i="1"/>
  <c r="AU331" i="1" s="1"/>
  <c r="AI573" i="1"/>
  <c r="AU435" i="1"/>
  <c r="AI303" i="1"/>
  <c r="BG45" i="1"/>
  <c r="H10" i="25" s="1"/>
  <c r="D44" i="25" s="1"/>
  <c r="R42" i="25" s="1"/>
  <c r="AI411" i="1"/>
  <c r="AU273" i="1"/>
  <c r="AU277" i="1" s="1"/>
  <c r="S325" i="1"/>
  <c r="S330" i="1" s="1"/>
  <c r="AU489" i="1"/>
  <c r="AU496" i="1" s="1"/>
  <c r="BG64" i="1"/>
  <c r="H29" i="25" s="1"/>
  <c r="D63" i="25" s="1"/>
  <c r="R57" i="25" s="1"/>
  <c r="D56" i="25"/>
  <c r="R51" i="25" s="1"/>
  <c r="D58" i="25"/>
  <c r="R53" i="25" s="1"/>
  <c r="R77" i="25" s="1"/>
  <c r="S271" i="1"/>
  <c r="S276" i="1" s="1"/>
  <c r="BG58" i="1"/>
  <c r="H23" i="25" s="1"/>
  <c r="D57" i="25" s="1"/>
  <c r="R52" i="25" s="1"/>
  <c r="D55" i="25"/>
  <c r="R50" i="25" s="1"/>
  <c r="AU111" i="1"/>
  <c r="AU118" i="1" s="1"/>
  <c r="AU379" i="1"/>
  <c r="AU384" i="1" s="1"/>
  <c r="S219" i="1"/>
  <c r="S226" i="1" s="1"/>
  <c r="AC359" i="3"/>
  <c r="AC365" i="3" s="1"/>
  <c r="AX49" i="3" s="1"/>
  <c r="D15" i="25" s="1"/>
  <c r="AC63" i="3"/>
  <c r="AC69" i="3" s="1"/>
  <c r="AX45" i="3" s="1"/>
  <c r="D11" i="25" s="1"/>
  <c r="D62" i="25"/>
  <c r="R56" i="25" s="1"/>
  <c r="R104" i="25" s="1"/>
  <c r="AB63" i="3"/>
  <c r="AB69" i="3" s="1"/>
  <c r="AW45" i="3" s="1"/>
  <c r="C11" i="25" s="1"/>
  <c r="AO100" i="3"/>
  <c r="AO106" i="3" s="1"/>
  <c r="AX52" i="3" s="1"/>
  <c r="D18" i="25" s="1"/>
  <c r="AC285" i="3"/>
  <c r="AC291" i="3" s="1"/>
  <c r="AX46" i="3" s="1"/>
  <c r="D12" i="25" s="1"/>
  <c r="D50" i="25"/>
  <c r="R47" i="25" s="1"/>
  <c r="R69" i="25"/>
  <c r="R93" i="25"/>
  <c r="R73" i="25"/>
  <c r="R97" i="25"/>
  <c r="D43" i="25"/>
  <c r="R41" i="25" s="1"/>
  <c r="R103" i="25"/>
  <c r="R79" i="25"/>
  <c r="R63" i="25"/>
  <c r="R87" i="25"/>
  <c r="AU55" i="1"/>
  <c r="AU60" i="1" s="1"/>
  <c r="S163" i="1"/>
  <c r="S168" i="1" s="1"/>
  <c r="AU381" i="1"/>
  <c r="AU385" i="1" s="1"/>
  <c r="AI248" i="1"/>
  <c r="BH56" i="1"/>
  <c r="I21" i="25" s="1"/>
  <c r="AI518" i="1"/>
  <c r="BH63" i="1"/>
  <c r="I28" i="25" s="1"/>
  <c r="AI140" i="1"/>
  <c r="BH53" i="1"/>
  <c r="I18" i="25" s="1"/>
  <c r="AI464" i="1"/>
  <c r="BH62" i="1"/>
  <c r="I27" i="25" s="1"/>
  <c r="AI410" i="1"/>
  <c r="BH60" i="1"/>
  <c r="I25" i="25" s="1"/>
  <c r="AI572" i="1"/>
  <c r="BH64" i="1"/>
  <c r="I29" i="25" s="1"/>
  <c r="AU543" i="1"/>
  <c r="AU550" i="1" s="1"/>
  <c r="AI302" i="1"/>
  <c r="BH57" i="1"/>
  <c r="I22" i="25" s="1"/>
  <c r="AI194" i="1"/>
  <c r="BH55" i="1"/>
  <c r="I20" i="25" s="1"/>
  <c r="AI86" i="1"/>
  <c r="BH59" i="1"/>
  <c r="I24" i="25" s="1"/>
  <c r="AI356" i="1"/>
  <c r="BH58" i="1"/>
  <c r="I23" i="25" s="1"/>
  <c r="AU61" i="1"/>
  <c r="AO285" i="3"/>
  <c r="AO291" i="3" s="1"/>
  <c r="AX59" i="3" s="1"/>
  <c r="D25" i="25" s="1"/>
  <c r="AU217" i="1"/>
  <c r="AU222" i="1" s="1"/>
  <c r="AO211" i="3"/>
  <c r="AO217" i="3" s="1"/>
  <c r="AX56" i="3" s="1"/>
  <c r="D22" i="25" s="1"/>
  <c r="AI249" i="1"/>
  <c r="AI141" i="1"/>
  <c r="AU165" i="1"/>
  <c r="AU169" i="1" s="1"/>
  <c r="AU109" i="1"/>
  <c r="AU114" i="1" s="1"/>
  <c r="AU271" i="1"/>
  <c r="AU276" i="1" s="1"/>
  <c r="S217" i="1"/>
  <c r="S222" i="1" s="1"/>
  <c r="AI465" i="1"/>
  <c r="AI519" i="1"/>
  <c r="AI195" i="1"/>
  <c r="AU433" i="1"/>
  <c r="AU438" i="1" s="1"/>
  <c r="AU62" i="1"/>
  <c r="AU67" i="1" s="1"/>
  <c r="AU63" i="1"/>
  <c r="AU68" i="1" s="1"/>
  <c r="AU219" i="1"/>
  <c r="AU495" i="1"/>
  <c r="AU494" i="1"/>
  <c r="AU440" i="1"/>
  <c r="AU445" i="1" s="1"/>
  <c r="AU441" i="1"/>
  <c r="AU446" i="1" s="1"/>
  <c r="AU334" i="1"/>
  <c r="AU279" i="1"/>
  <c r="AU278" i="1"/>
  <c r="AU493" i="1"/>
  <c r="AU170" i="1"/>
  <c r="AU175" i="1" s="1"/>
  <c r="AU171" i="1"/>
  <c r="AU176" i="1" s="1"/>
  <c r="AU439" i="1"/>
  <c r="AU442" i="1"/>
  <c r="AU386" i="1"/>
  <c r="AU391" i="1" s="1"/>
  <c r="AU387" i="1"/>
  <c r="AU392" i="1" s="1"/>
  <c r="AU325" i="1"/>
  <c r="AU330" i="1" s="1"/>
  <c r="AI357" i="1"/>
  <c r="AU487" i="1"/>
  <c r="AU492" i="1" s="1"/>
  <c r="AU549" i="1"/>
  <c r="AU548" i="1"/>
  <c r="AI87" i="1"/>
  <c r="AU332" i="1"/>
  <c r="AU333" i="1"/>
  <c r="AU116" i="1"/>
  <c r="AU121" i="1" s="1"/>
  <c r="AU117" i="1"/>
  <c r="AU122" i="1" s="1"/>
  <c r="AU163" i="1"/>
  <c r="AU168" i="1" s="1"/>
  <c r="AU225" i="1"/>
  <c r="AU224" i="1"/>
  <c r="AU541" i="1"/>
  <c r="AU546" i="1" s="1"/>
  <c r="S165" i="1"/>
  <c r="S172" i="1" s="1"/>
  <c r="AN60" i="3"/>
  <c r="AN66" i="3" s="1"/>
  <c r="AN63" i="3"/>
  <c r="AN69" i="3" s="1"/>
  <c r="AW58" i="3" s="1"/>
  <c r="AN61" i="3"/>
  <c r="AN67" i="3" s="1"/>
  <c r="AB134" i="3"/>
  <c r="AB140" i="3" s="1"/>
  <c r="AB135" i="3"/>
  <c r="AB141" i="3" s="1"/>
  <c r="AB137" i="3"/>
  <c r="AB143" i="3" s="1"/>
  <c r="AW41" i="3" s="1"/>
  <c r="C7" i="25" s="1"/>
  <c r="AB394" i="3"/>
  <c r="AB400" i="3" s="1"/>
  <c r="AB396" i="3"/>
  <c r="AB402" i="3" s="1"/>
  <c r="AW50" i="3" s="1"/>
  <c r="C16" i="25" s="1"/>
  <c r="AB393" i="3"/>
  <c r="AB399" i="3" s="1"/>
  <c r="AO137" i="3"/>
  <c r="AO143" i="3" s="1"/>
  <c r="AX54" i="3" s="1"/>
  <c r="D20" i="25" s="1"/>
  <c r="AB356" i="3"/>
  <c r="AB362" i="3" s="1"/>
  <c r="AB359" i="3"/>
  <c r="AB365" i="3" s="1"/>
  <c r="AW49" i="3" s="1"/>
  <c r="C15" i="25" s="1"/>
  <c r="AB357" i="3"/>
  <c r="AB363" i="3" s="1"/>
  <c r="AC174" i="3"/>
  <c r="AC180" i="3" s="1"/>
  <c r="AX42" i="3" s="1"/>
  <c r="D8" i="25" s="1"/>
  <c r="AN174" i="3"/>
  <c r="AN180" i="3" s="1"/>
  <c r="AW55" i="3" s="1"/>
  <c r="C21" i="25" s="1"/>
  <c r="AN171" i="3"/>
  <c r="AN177" i="3" s="1"/>
  <c r="AN172" i="3"/>
  <c r="AN178" i="3" s="1"/>
  <c r="AB245" i="3"/>
  <c r="AB251" i="3" s="1"/>
  <c r="AB246" i="3"/>
  <c r="AB252" i="3" s="1"/>
  <c r="AB248" i="3"/>
  <c r="AB254" i="3" s="1"/>
  <c r="AW44" i="3" s="1"/>
  <c r="C10" i="25" s="1"/>
  <c r="AO63" i="3"/>
  <c r="AO69" i="3" s="1"/>
  <c r="AX58" i="3" s="1"/>
  <c r="D24" i="25" s="1"/>
  <c r="S381" i="1"/>
  <c r="S388" i="1" s="1"/>
  <c r="AB322" i="3"/>
  <c r="AB328" i="3" s="1"/>
  <c r="AW48" i="3" s="1"/>
  <c r="C14" i="25" s="1"/>
  <c r="AB320" i="3"/>
  <c r="AB326" i="3" s="1"/>
  <c r="AB319" i="3"/>
  <c r="AB325" i="3" s="1"/>
  <c r="AN137" i="3"/>
  <c r="AN143" i="3" s="1"/>
  <c r="AW54" i="3" s="1"/>
  <c r="AN134" i="3"/>
  <c r="AN140" i="3" s="1"/>
  <c r="AN135" i="3"/>
  <c r="AN141" i="3" s="1"/>
  <c r="AN97" i="3"/>
  <c r="AN103" i="3" s="1"/>
  <c r="AN98" i="3"/>
  <c r="AN104" i="3" s="1"/>
  <c r="AN100" i="3"/>
  <c r="AN106" i="3" s="1"/>
  <c r="AW52" i="3" s="1"/>
  <c r="AO322" i="3"/>
  <c r="AO328" i="3" s="1"/>
  <c r="AX61" i="3" s="1"/>
  <c r="D27" i="25" s="1"/>
  <c r="AB60" i="3"/>
  <c r="AB66" i="3" s="1"/>
  <c r="AC396" i="3"/>
  <c r="AC402" i="3" s="1"/>
  <c r="AX50" i="3" s="1"/>
  <c r="D16" i="25" s="1"/>
  <c r="AO359" i="3"/>
  <c r="AO365" i="3" s="1"/>
  <c r="AX62" i="3" s="1"/>
  <c r="D28" i="25" s="1"/>
  <c r="AO174" i="3"/>
  <c r="AO180" i="3" s="1"/>
  <c r="AX55" i="3" s="1"/>
  <c r="D21" i="25" s="1"/>
  <c r="AN319" i="3"/>
  <c r="AN325" i="3" s="1"/>
  <c r="AN320" i="3"/>
  <c r="AN326" i="3" s="1"/>
  <c r="AN322" i="3"/>
  <c r="AN328" i="3" s="1"/>
  <c r="AW61" i="3" s="1"/>
  <c r="AN394" i="3"/>
  <c r="AN400" i="3" s="1"/>
  <c r="AN393" i="3"/>
  <c r="AN399" i="3" s="1"/>
  <c r="AN396" i="3"/>
  <c r="AN402" i="3" s="1"/>
  <c r="AW63" i="3" s="1"/>
  <c r="C29" i="25" s="1"/>
  <c r="AB171" i="3"/>
  <c r="AB177" i="3" s="1"/>
  <c r="AB172" i="3"/>
  <c r="AB178" i="3" s="1"/>
  <c r="AB174" i="3"/>
  <c r="AB180" i="3" s="1"/>
  <c r="AW42" i="3" s="1"/>
  <c r="C8" i="25" s="1"/>
  <c r="AB61" i="3"/>
  <c r="AB67" i="3" s="1"/>
  <c r="AO396" i="3"/>
  <c r="AO402" i="3" s="1"/>
  <c r="AX63" i="3" s="1"/>
  <c r="D29" i="25" s="1"/>
  <c r="AC137" i="3"/>
  <c r="AC143" i="3" s="1"/>
  <c r="AX41" i="3" s="1"/>
  <c r="D7" i="25" s="1"/>
  <c r="AO248" i="3"/>
  <c r="AO254" i="3" s="1"/>
  <c r="AX57" i="3" s="1"/>
  <c r="D23" i="25" s="1"/>
  <c r="AC322" i="3"/>
  <c r="AC328" i="3" s="1"/>
  <c r="AX48" i="3" s="1"/>
  <c r="D14" i="25" s="1"/>
  <c r="AN282" i="3"/>
  <c r="AN288" i="3" s="1"/>
  <c r="AN283" i="3"/>
  <c r="AN289" i="3" s="1"/>
  <c r="AN285" i="3"/>
  <c r="AN291" i="3" s="1"/>
  <c r="AW59" i="3" s="1"/>
  <c r="AC100" i="3"/>
  <c r="AC106" i="3" s="1"/>
  <c r="AX39" i="3" s="1"/>
  <c r="D5" i="25" s="1"/>
  <c r="AN357" i="3"/>
  <c r="AN363" i="3" s="1"/>
  <c r="AN359" i="3"/>
  <c r="AN365" i="3" s="1"/>
  <c r="AW62" i="3" s="1"/>
  <c r="C28" i="25" s="1"/>
  <c r="AN356" i="3"/>
  <c r="AN362" i="3" s="1"/>
  <c r="AC211" i="3"/>
  <c r="AC217" i="3" s="1"/>
  <c r="AX43" i="3" s="1"/>
  <c r="D9" i="25" s="1"/>
  <c r="AB98" i="3"/>
  <c r="AB104" i="3" s="1"/>
  <c r="AB100" i="3"/>
  <c r="AB106" i="3" s="1"/>
  <c r="AW39" i="3" s="1"/>
  <c r="C5" i="25" s="1"/>
  <c r="AB97" i="3"/>
  <c r="AB103" i="3" s="1"/>
  <c r="AN248" i="3"/>
  <c r="AN254" i="3" s="1"/>
  <c r="AW57" i="3" s="1"/>
  <c r="C23" i="25" s="1"/>
  <c r="AN246" i="3"/>
  <c r="AN252" i="3" s="1"/>
  <c r="AN245" i="3"/>
  <c r="AN251" i="3" s="1"/>
  <c r="S435" i="1"/>
  <c r="S442" i="1" s="1"/>
  <c r="AN208" i="3"/>
  <c r="AN214" i="3" s="1"/>
  <c r="AN209" i="3"/>
  <c r="AN215" i="3" s="1"/>
  <c r="AN211" i="3"/>
  <c r="AN217" i="3" s="1"/>
  <c r="AW56" i="3" s="1"/>
  <c r="C22" i="25" s="1"/>
  <c r="AB283" i="3"/>
  <c r="AB289" i="3" s="1"/>
  <c r="AB285" i="3"/>
  <c r="AB291" i="3" s="1"/>
  <c r="AW46" i="3" s="1"/>
  <c r="C12" i="25" s="1"/>
  <c r="AB282" i="3"/>
  <c r="AB288" i="3" s="1"/>
  <c r="AB209" i="3"/>
  <c r="AB215" i="3" s="1"/>
  <c r="AB208" i="3"/>
  <c r="AB214" i="3" s="1"/>
  <c r="AB211" i="3"/>
  <c r="AB217" i="3" s="1"/>
  <c r="AW43" i="3" s="1"/>
  <c r="C9" i="25" s="1"/>
  <c r="AC248" i="3"/>
  <c r="AC254" i="3" s="1"/>
  <c r="AX44" i="3" s="1"/>
  <c r="D10" i="25" s="1"/>
  <c r="S109" i="1"/>
  <c r="S114" i="1" s="1"/>
  <c r="S489" i="1"/>
  <c r="S496" i="1" s="1"/>
  <c r="S57" i="1"/>
  <c r="S64" i="1" s="1"/>
  <c r="S111" i="1"/>
  <c r="S118" i="1" s="1"/>
  <c r="S433" i="1"/>
  <c r="S438" i="1" s="1"/>
  <c r="S273" i="1"/>
  <c r="S280" i="1" s="1"/>
  <c r="S55" i="1"/>
  <c r="S60" i="1" s="1"/>
  <c r="S550" i="1"/>
  <c r="S547" i="1"/>
  <c r="S552" i="1" s="1"/>
  <c r="S334" i="1"/>
  <c r="S331" i="1"/>
  <c r="S171" i="1"/>
  <c r="S176" i="1" s="1"/>
  <c r="S170" i="1"/>
  <c r="S175" i="1" s="1"/>
  <c r="S495" i="1"/>
  <c r="S494" i="1"/>
  <c r="S549" i="1"/>
  <c r="S548" i="1"/>
  <c r="S440" i="1"/>
  <c r="S445" i="1" s="1"/>
  <c r="S441" i="1"/>
  <c r="S446" i="1" s="1"/>
  <c r="S386" i="1"/>
  <c r="S391" i="1" s="1"/>
  <c r="S387" i="1"/>
  <c r="S392" i="1" s="1"/>
  <c r="S278" i="1"/>
  <c r="S279" i="1"/>
  <c r="S379" i="1"/>
  <c r="S384" i="1" s="1"/>
  <c r="S332" i="1"/>
  <c r="S333" i="1"/>
  <c r="S225" i="1"/>
  <c r="S224" i="1"/>
  <c r="S117" i="1"/>
  <c r="S122" i="1" s="1"/>
  <c r="S116" i="1"/>
  <c r="S121" i="1" s="1"/>
  <c r="S62" i="1"/>
  <c r="S63" i="1"/>
  <c r="BG46" i="1"/>
  <c r="H11" i="25" s="1"/>
  <c r="D45" i="25" s="1"/>
  <c r="R43" i="25" s="1"/>
  <c r="G195" i="1"/>
  <c r="G465" i="1"/>
  <c r="G573" i="1"/>
  <c r="G357" i="1"/>
  <c r="G303" i="1"/>
  <c r="BG50" i="1"/>
  <c r="H15" i="25" s="1"/>
  <c r="D49" i="25" s="1"/>
  <c r="R46" i="25" s="1"/>
  <c r="G518" i="1"/>
  <c r="BH50" i="1"/>
  <c r="I15" i="25" s="1"/>
  <c r="G302" i="1"/>
  <c r="BH44" i="1"/>
  <c r="I9" i="25" s="1"/>
  <c r="G572" i="1"/>
  <c r="BH51" i="1"/>
  <c r="I16" i="25" s="1"/>
  <c r="G410" i="1"/>
  <c r="BH47" i="1"/>
  <c r="I12" i="25" s="1"/>
  <c r="G356" i="1"/>
  <c r="BH45" i="1"/>
  <c r="I10" i="25" s="1"/>
  <c r="G519" i="1"/>
  <c r="G464" i="1"/>
  <c r="BH49" i="1"/>
  <c r="I14" i="25" s="1"/>
  <c r="G411" i="1"/>
  <c r="G141" i="1"/>
  <c r="BG43" i="1"/>
  <c r="H8" i="25" s="1"/>
  <c r="D42" i="25" s="1"/>
  <c r="R40" i="25" s="1"/>
  <c r="BH46" i="1"/>
  <c r="I11" i="25" s="1"/>
  <c r="BH43" i="1"/>
  <c r="I8" i="25" s="1"/>
  <c r="BH40" i="1"/>
  <c r="I5" i="25" s="1"/>
  <c r="BH42" i="1"/>
  <c r="I7" i="25" s="1"/>
  <c r="G87" i="1"/>
  <c r="G86" i="1"/>
  <c r="AU280" i="1" l="1"/>
  <c r="S336" i="1"/>
  <c r="AU66" i="1"/>
  <c r="R101" i="25"/>
  <c r="R81" i="25"/>
  <c r="R105" i="25"/>
  <c r="AU115" i="1"/>
  <c r="AU120" i="1" s="1"/>
  <c r="BI53" i="1" s="1"/>
  <c r="R80" i="25"/>
  <c r="AU390" i="1"/>
  <c r="BI60" i="1" s="1"/>
  <c r="J25" i="25" s="1"/>
  <c r="R100" i="25"/>
  <c r="R76" i="25"/>
  <c r="S223" i="1"/>
  <c r="S228" i="1" s="1"/>
  <c r="AU388" i="1"/>
  <c r="R88" i="25"/>
  <c r="R64" i="25"/>
  <c r="R94" i="25"/>
  <c r="R70" i="25"/>
  <c r="AY54" i="3"/>
  <c r="E20" i="25" s="1"/>
  <c r="C20" i="25"/>
  <c r="AY58" i="3"/>
  <c r="E24" i="25" s="1"/>
  <c r="C24" i="25"/>
  <c r="R65" i="25"/>
  <c r="R89" i="25"/>
  <c r="R44" i="25"/>
  <c r="R90" i="25"/>
  <c r="R66" i="25"/>
  <c r="R91" i="25"/>
  <c r="R67" i="25"/>
  <c r="AY61" i="3"/>
  <c r="E27" i="25" s="1"/>
  <c r="C27" i="25"/>
  <c r="AY52" i="3"/>
  <c r="E18" i="25" s="1"/>
  <c r="C18" i="25"/>
  <c r="AY59" i="3"/>
  <c r="E25" i="25" s="1"/>
  <c r="C25" i="25"/>
  <c r="R98" i="25"/>
  <c r="R74" i="25"/>
  <c r="R54" i="25"/>
  <c r="R99" i="25"/>
  <c r="R75" i="25"/>
  <c r="R95" i="25"/>
  <c r="R71" i="25"/>
  <c r="S277" i="1"/>
  <c r="S282" i="1" s="1"/>
  <c r="AU547" i="1"/>
  <c r="AU552" i="1" s="1"/>
  <c r="BI59" i="1"/>
  <c r="J24" i="25" s="1"/>
  <c r="S439" i="1"/>
  <c r="S444" i="1" s="1"/>
  <c r="BI49" i="1" s="1"/>
  <c r="J14" i="25" s="1"/>
  <c r="E48" i="25" s="1"/>
  <c r="AU172" i="1"/>
  <c r="AU282" i="1"/>
  <c r="S169" i="1"/>
  <c r="S174" i="1" s="1"/>
  <c r="BI42" i="1" s="1"/>
  <c r="J7" i="25" s="1"/>
  <c r="E41" i="25" s="1"/>
  <c r="AU174" i="1"/>
  <c r="BI55" i="1" s="1"/>
  <c r="AU336" i="1"/>
  <c r="AU553" i="1"/>
  <c r="AU554" i="1"/>
  <c r="AU498" i="1"/>
  <c r="AU499" i="1"/>
  <c r="AU444" i="1"/>
  <c r="BI62" i="1" s="1"/>
  <c r="AU500" i="1"/>
  <c r="AU283" i="1"/>
  <c r="AU226" i="1"/>
  <c r="AU229" i="1" s="1"/>
  <c r="AU223" i="1"/>
  <c r="AU228" i="1" s="1"/>
  <c r="AU337" i="1"/>
  <c r="AU338" i="1"/>
  <c r="AU284" i="1"/>
  <c r="S385" i="1"/>
  <c r="S390" i="1" s="1"/>
  <c r="BI47" i="1" s="1"/>
  <c r="J12" i="25" s="1"/>
  <c r="E46" i="25" s="1"/>
  <c r="S45" i="25" s="1"/>
  <c r="S493" i="1"/>
  <c r="S498" i="1" s="1"/>
  <c r="AY48" i="3"/>
  <c r="E14" i="25" s="1"/>
  <c r="AY46" i="3"/>
  <c r="E12" i="25" s="1"/>
  <c r="S115" i="1"/>
  <c r="S120" i="1" s="1"/>
  <c r="BI40" i="1" s="1"/>
  <c r="S61" i="1"/>
  <c r="S66" i="1" s="1"/>
  <c r="AY45" i="3"/>
  <c r="E11" i="25" s="1"/>
  <c r="AY41" i="3"/>
  <c r="S67" i="1"/>
  <c r="S283" i="1"/>
  <c r="AY39" i="3"/>
  <c r="E5" i="25" s="1"/>
  <c r="S68" i="1"/>
  <c r="S553" i="1"/>
  <c r="S499" i="1"/>
  <c r="S337" i="1"/>
  <c r="S229" i="1"/>
  <c r="S230" i="1"/>
  <c r="S500" i="1"/>
  <c r="S338" i="1"/>
  <c r="S284" i="1"/>
  <c r="S554" i="1"/>
  <c r="BI51" i="1" s="1"/>
  <c r="J16" i="25" s="1"/>
  <c r="E50" i="25" s="1"/>
  <c r="BI45" i="1" l="1"/>
  <c r="J10" i="25" s="1"/>
  <c r="E44" i="25" s="1"/>
  <c r="BI43" i="1"/>
  <c r="J8" i="25" s="1"/>
  <c r="E42" i="25" s="1"/>
  <c r="S40" i="25" s="1"/>
  <c r="BI44" i="1"/>
  <c r="J9" i="25" s="1"/>
  <c r="E43" i="25" s="1"/>
  <c r="S41" i="25" s="1"/>
  <c r="AY56" i="3"/>
  <c r="E22" i="25" s="1"/>
  <c r="AY49" i="3"/>
  <c r="E15" i="25" s="1"/>
  <c r="AY50" i="3"/>
  <c r="E16" i="25" s="1"/>
  <c r="AY55" i="3"/>
  <c r="E21" i="25" s="1"/>
  <c r="S47" i="25"/>
  <c r="S71" i="25" s="1"/>
  <c r="AY57" i="3"/>
  <c r="E23" i="25" s="1"/>
  <c r="AY63" i="3"/>
  <c r="E29" i="25" s="1"/>
  <c r="S42" i="25"/>
  <c r="S90" i="25" s="1"/>
  <c r="BI58" i="1"/>
  <c r="J23" i="25" s="1"/>
  <c r="E57" i="25" s="1"/>
  <c r="AY62" i="3"/>
  <c r="E28" i="25" s="1"/>
  <c r="E59" i="25"/>
  <c r="S55" i="25" s="1"/>
  <c r="R68" i="25"/>
  <c r="R92" i="25"/>
  <c r="BI46" i="1"/>
  <c r="J11" i="25" s="1"/>
  <c r="E45" i="25" s="1"/>
  <c r="S43" i="25" s="1"/>
  <c r="BJ55" i="1"/>
  <c r="K20" i="25" s="1"/>
  <c r="J20" i="25"/>
  <c r="E54" i="25" s="1"/>
  <c r="R78" i="25"/>
  <c r="R102" i="25"/>
  <c r="BJ53" i="1"/>
  <c r="K18" i="25" s="1"/>
  <c r="J18" i="25"/>
  <c r="E52" i="25" s="1"/>
  <c r="S49" i="25" s="1"/>
  <c r="S93" i="25"/>
  <c r="S69" i="25"/>
  <c r="E58" i="25"/>
  <c r="S53" i="25" s="1"/>
  <c r="BJ62" i="1"/>
  <c r="K27" i="25" s="1"/>
  <c r="J27" i="25"/>
  <c r="E61" i="25" s="1"/>
  <c r="BJ60" i="1"/>
  <c r="K25" i="25" s="1"/>
  <c r="AY44" i="3"/>
  <c r="E10" i="25" s="1"/>
  <c r="E7" i="25"/>
  <c r="BJ59" i="1"/>
  <c r="K24" i="25" s="1"/>
  <c r="BI64" i="1"/>
  <c r="J29" i="25" s="1"/>
  <c r="E63" i="25" s="1"/>
  <c r="AY43" i="3"/>
  <c r="E9" i="25" s="1"/>
  <c r="BI63" i="1"/>
  <c r="BI57" i="1"/>
  <c r="BI50" i="1"/>
  <c r="J15" i="25" s="1"/>
  <c r="E49" i="25" s="1"/>
  <c r="S46" i="25" s="1"/>
  <c r="AU230" i="1"/>
  <c r="BI56" i="1" s="1"/>
  <c r="AY42" i="3"/>
  <c r="E8" i="25" s="1"/>
  <c r="BJ47" i="1"/>
  <c r="K12" i="25" s="1"/>
  <c r="J5" i="25"/>
  <c r="E39" i="25" s="1"/>
  <c r="S39" i="25" s="1"/>
  <c r="S88" i="25" l="1"/>
  <c r="S64" i="25"/>
  <c r="S89" i="25"/>
  <c r="S65" i="25"/>
  <c r="S95" i="25"/>
  <c r="BJ46" i="1"/>
  <c r="K11" i="25" s="1"/>
  <c r="S52" i="25"/>
  <c r="S76" i="25" s="1"/>
  <c r="BJ58" i="1"/>
  <c r="K23" i="25" s="1"/>
  <c r="S66" i="25"/>
  <c r="S97" i="25"/>
  <c r="S73" i="25"/>
  <c r="BJ56" i="1"/>
  <c r="K21" i="25" s="1"/>
  <c r="J21" i="25"/>
  <c r="E55" i="25" s="1"/>
  <c r="S50" i="25" s="1"/>
  <c r="S67" i="25"/>
  <c r="S91" i="25"/>
  <c r="BJ57" i="1"/>
  <c r="K22" i="25" s="1"/>
  <c r="J22" i="25"/>
  <c r="E56" i="25" s="1"/>
  <c r="S51" i="25" s="1"/>
  <c r="S63" i="25"/>
  <c r="S87" i="25"/>
  <c r="S103" i="25"/>
  <c r="S79" i="25"/>
  <c r="S94" i="25"/>
  <c r="S70" i="25"/>
  <c r="BJ63" i="1"/>
  <c r="K28" i="25" s="1"/>
  <c r="J28" i="25"/>
  <c r="E62" i="25" s="1"/>
  <c r="S56" i="25" s="1"/>
  <c r="BJ64" i="1"/>
  <c r="K29" i="25" s="1"/>
  <c r="S57" i="25"/>
  <c r="S77" i="25"/>
  <c r="S101" i="25"/>
  <c r="S44" i="25"/>
  <c r="BJ49" i="1"/>
  <c r="K14" i="25" s="1"/>
  <c r="BJ40" i="1"/>
  <c r="K5" i="25" s="1"/>
  <c r="BJ42" i="1"/>
  <c r="K7" i="25" s="1"/>
  <c r="S100" i="25" l="1"/>
  <c r="S74" i="25"/>
  <c r="S98" i="25"/>
  <c r="S92" i="25"/>
  <c r="S68" i="25"/>
  <c r="S81" i="25"/>
  <c r="S105" i="25"/>
  <c r="S104" i="25"/>
  <c r="S80" i="25"/>
  <c r="S54" i="25"/>
  <c r="S99" i="25"/>
  <c r="S75" i="25"/>
  <c r="BJ51" i="1"/>
  <c r="K16" i="25" s="1"/>
  <c r="BJ50" i="1"/>
  <c r="K15" i="25" s="1"/>
  <c r="BJ45" i="1"/>
  <c r="K10" i="25" s="1"/>
  <c r="BJ44" i="1"/>
  <c r="K9" i="25" s="1"/>
  <c r="BJ43" i="1"/>
  <c r="U13" i="25"/>
  <c r="V13" i="25" l="1"/>
  <c r="K8" i="25"/>
  <c r="S78" i="25"/>
  <c r="S102"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Alberto Maresca</author>
  </authors>
  <commentList>
    <comment ref="D7" authorId="0" shapeId="0" xr:uid="{97B0C2D0-5895-4872-8011-B6A910BE6C74}">
      <text>
        <r>
          <rPr>
            <b/>
            <sz val="9"/>
            <color indexed="81"/>
            <rFont val="Tahoma"/>
            <family val="2"/>
          </rPr>
          <t>Alberto Maresca:</t>
        </r>
        <r>
          <rPr>
            <sz val="9"/>
            <color indexed="81"/>
            <rFont val="Tahoma"/>
            <family val="2"/>
          </rPr>
          <t xml:space="preserve">
"Pit storage below animal confinements
Collection and storage of manure usually with little or no added water typically below a slatted floor in an enclosed animal confinement facility.
0.002"</t>
        </r>
      </text>
    </comment>
    <comment ref="R10" authorId="0" shapeId="0" xr:uid="{7B316423-ABC0-4E94-ABA4-C6430767E520}">
      <text>
        <r>
          <rPr>
            <b/>
            <sz val="9"/>
            <color indexed="81"/>
            <rFont val="Tahoma"/>
            <family val="2"/>
          </rPr>
          <t>Alberto Maresca:</t>
        </r>
        <r>
          <rPr>
            <sz val="9"/>
            <color indexed="81"/>
            <rFont val="Tahoma"/>
            <family val="2"/>
          </rPr>
          <t xml:space="preserve">
circa half of what was in IPCC 2006</t>
        </r>
      </text>
    </comment>
    <comment ref="E11" authorId="0" shapeId="0" xr:uid="{1709BAE6-F4E1-4F29-8285-F923CB68211D}">
      <text>
        <r>
          <rPr>
            <b/>
            <sz val="9"/>
            <color indexed="81"/>
            <rFont val="Tahoma"/>
            <family val="2"/>
          </rPr>
          <t>Alberto Maresca:</t>
        </r>
        <r>
          <rPr>
            <sz val="9"/>
            <color indexed="81"/>
            <rFont val="Tahoma"/>
            <family val="2"/>
          </rPr>
          <t xml:space="preserve">
"Cattle and swine deep bedding
As manure accumulates, bedding is continually added to absorb moisture over a production cycle and possibly for as long as 6 to 12 months. This manure management system also is known as a bedded pack manure management system and may be combined with a dry lot or pasture.
No mixing"</t>
        </r>
      </text>
    </comment>
    <comment ref="D19" authorId="0" shapeId="0" xr:uid="{6F76FC16-223B-4845-8F10-AF5D608C2054}">
      <text>
        <r>
          <rPr>
            <b/>
            <sz val="9"/>
            <color indexed="81"/>
            <rFont val="Tahoma"/>
            <family val="2"/>
          </rPr>
          <t>Alberto Maresca:</t>
        </r>
        <r>
          <rPr>
            <sz val="9"/>
            <color indexed="81"/>
            <rFont val="Tahoma"/>
            <family val="2"/>
          </rPr>
          <t xml:space="preserve">
1 order of magnitude lower than the recommended in IPCC 2006. Large effect on results.</t>
        </r>
      </text>
    </comment>
    <comment ref="D22" authorId="0" shapeId="0" xr:uid="{BB292401-9D11-4A45-A604-933522645D88}">
      <text>
        <r>
          <rPr>
            <b/>
            <sz val="9"/>
            <color indexed="81"/>
            <rFont val="Tahoma"/>
            <family val="2"/>
          </rPr>
          <t>Alberto Maresca:</t>
        </r>
        <r>
          <rPr>
            <sz val="9"/>
            <color indexed="81"/>
            <rFont val="Tahoma"/>
            <family val="2"/>
          </rPr>
          <t xml:space="preserve">
with natural crust</t>
        </r>
      </text>
    </comment>
  </commentList>
</comments>
</file>

<file path=xl/sharedStrings.xml><?xml version="1.0" encoding="utf-8"?>
<sst xmlns="http://schemas.openxmlformats.org/spreadsheetml/2006/main" count="9091" uniqueCount="711">
  <si>
    <t>Staldtype</t>
  </si>
  <si>
    <t>NH3, % af TAN ab dyr</t>
  </si>
  <si>
    <t>NH3, % af total-N ab dyr</t>
  </si>
  <si>
    <t>Nox, % af N</t>
  </si>
  <si>
    <t>N2, % af N</t>
  </si>
  <si>
    <t>Gylle</t>
  </si>
  <si>
    <t>Dybstrøelse</t>
  </si>
  <si>
    <t>Sengestald med fast gulv</t>
  </si>
  <si>
    <t>Sengestald med fast drænet gulv</t>
  </si>
  <si>
    <t>Afgræsning</t>
  </si>
  <si>
    <t>kg N</t>
  </si>
  <si>
    <t>Hvor  'NEH_N2O' er netto emissionen af lattergas(N2O) fra stalden i kg N, 'kg N in stable' er mængden af kvælstof i stalden i kg, 'N2O, % af N' er en konstant afhængig af staldsystem</t>
  </si>
  <si>
    <t xml:space="preserve">    N2O - stald</t>
  </si>
  <si>
    <t>kg CO2eq</t>
  </si>
  <si>
    <t xml:space="preserve">    NH3 - stald</t>
  </si>
  <si>
    <t>Total emissioner fra stald</t>
  </si>
  <si>
    <t>Kode dyretype</t>
  </si>
  <si>
    <t>Kode staldsystem</t>
  </si>
  <si>
    <t>Husdyrart og staldtype</t>
  </si>
  <si>
    <t>Gødningstype</t>
  </si>
  <si>
    <t>1 årsko (malkekvæg, tung race)</t>
  </si>
  <si>
    <t>Bindestald med grebning</t>
  </si>
  <si>
    <t>Bindestald med riste</t>
  </si>
  <si>
    <t>gylle</t>
  </si>
  <si>
    <t>Sengestald med spalter (kanal, linespil)</t>
  </si>
  <si>
    <t>Sengestald med spalter (kanal, bagskyl eller ringkanal)</t>
  </si>
  <si>
    <t>Dybstrøelse (hele arealet)</t>
  </si>
  <si>
    <t>dybstrøelse</t>
  </si>
  <si>
    <t>Dybstrøelse, lang ædeplads med fast gulv</t>
  </si>
  <si>
    <t>Dybstrøelse, lang ædeplads med spalter (kanal, linespil)</t>
  </si>
  <si>
    <t>Dybstrøelse, lang ædeplads med spalter (kanal, bagskyl eller ringkanal)</t>
  </si>
  <si>
    <t>1 årsko (malkekvæg, Jersey)</t>
  </si>
  <si>
    <t>fast gødning</t>
  </si>
  <si>
    <t>ajle</t>
  </si>
  <si>
    <t xml:space="preserve">Indhold kg kvælstof i alt  </t>
  </si>
  <si>
    <t>Årsopdræt, 0-6 mdr., småkalv, tung race</t>
  </si>
  <si>
    <t>Dybstrøelse + kort ædeplads med fast gulv</t>
  </si>
  <si>
    <t>Årsopdræt, 0-6 mdr., småkalv, Jersey</t>
  </si>
  <si>
    <t>Sengestald med spaltegulv (kanal, line- spil)</t>
  </si>
  <si>
    <t>Sengestald med spaltegulv (kanal, bagskyl eller ringkanal)</t>
  </si>
  <si>
    <t>Dybstrøelse, hele arealet</t>
  </si>
  <si>
    <t>Spaltegulvbokse</t>
  </si>
  <si>
    <t>Sengestald, fast drænet gulv med skra- ber og ajleafløb *)</t>
  </si>
  <si>
    <t>Årsopdræt 6 mdr. til kælvning (27 mdr) (kvier og stude), tung race</t>
  </si>
  <si>
    <t xml:space="preserve">Årsopdræt 6 mdr. til kælvning (25 mdr) (kvier og stude), jersey </t>
  </si>
  <si>
    <t xml:space="preserve">1 produceret tyrekalv, 0-6 mdr, tung race </t>
  </si>
  <si>
    <t>1 produceret tyrekalv, 0-6 mdr, Jersey</t>
  </si>
  <si>
    <t>Ungtyre, 6 mdr. til slagtning (440 kg), tung race, (1 produceret ungtyr)</t>
  </si>
  <si>
    <t>Ungtyre, 6 mdr. til slagtning (328 kg), Jersey, (1 produceret ungtyr)</t>
  </si>
  <si>
    <t>Ammekøer, 1 årsko under 400 kg</t>
  </si>
  <si>
    <t>Ammekøer, 1 årsko 400-600 kg</t>
  </si>
  <si>
    <t>Ammekøer, 1 årsko over 600 kg</t>
  </si>
  <si>
    <t>Sengestald, fast drænet gulv med skraber og ajleafløb *)</t>
  </si>
  <si>
    <t>Normtal</t>
  </si>
  <si>
    <t>total kg N</t>
  </si>
  <si>
    <t>urin kg N (TAN-N)</t>
  </si>
  <si>
    <t>kg N fra strøelse</t>
  </si>
  <si>
    <t>kg N per kg tørstof =</t>
  </si>
  <si>
    <t>Strøelsesmængde, kg/dag/dyr</t>
  </si>
  <si>
    <t>Metan</t>
  </si>
  <si>
    <t>total kg Vs per år</t>
  </si>
  <si>
    <t>Normtal, ton gødning</t>
  </si>
  <si>
    <t>NE_CH4</t>
  </si>
  <si>
    <t>B0</t>
  </si>
  <si>
    <t>Malkekøer</t>
  </si>
  <si>
    <t>Andre kvæg</t>
  </si>
  <si>
    <t>kg CH4</t>
  </si>
  <si>
    <t>NE_CH4 - dybstrøelse</t>
  </si>
  <si>
    <t>Total</t>
  </si>
  <si>
    <t>Faktorer</t>
  </si>
  <si>
    <t>kg Vs fra strøelse pr år</t>
  </si>
  <si>
    <t>Hvor 'GEH_CH4' er brutto emissionen af metan(CH4) fra stalden i kg CH4, 'Vs' er den totale mængde af ikke fordøjet organisk stof i gødningen i kg, '0,67' (massefylden af metan ved 20 grader C) er en konstant som anvendes til omregning fra m3 CH4 til kg CH4, 'B0' er den maksimale andel af organisk stof der kan omsættes til metan , 'MCF for CH4' er metan konversions faktor for gylle i %</t>
  </si>
  <si>
    <t>Normtal, AU</t>
  </si>
  <si>
    <t>Dammgen &amp; Hutchings, 2008</t>
  </si>
  <si>
    <t>Vinther, F.P, 2005</t>
  </si>
  <si>
    <t>Reference</t>
  </si>
  <si>
    <t>Fordelingstal til TAN-n</t>
  </si>
  <si>
    <t>Gødningsfordeling</t>
  </si>
  <si>
    <t>100% gyllesystem</t>
  </si>
  <si>
    <t>100 % dybstrøelsessystem</t>
  </si>
  <si>
    <t>60 % dybstrøelsessystem - 40 % gyllesystem</t>
  </si>
  <si>
    <t>Antal dage</t>
  </si>
  <si>
    <t>Antal timer</t>
  </si>
  <si>
    <t>Malkeko tung race</t>
  </si>
  <si>
    <t>Net emission der findes sted ved afgræsning</t>
  </si>
  <si>
    <t>kg N ved afgræsning x N2O, % af N / 100</t>
  </si>
  <si>
    <t>Hvor  'NEH_N2O' er netto emissionen af lattergas(N2O) fra afgræsning i kg N, 'kg N ved afgræsning' er mængden af kvælstof på afgræsningsmarken i kg, 'N2O, % af N' er en konstant for afgræsning</t>
  </si>
  <si>
    <t>kg N ved afgræsning x NH3, % af N / 100</t>
  </si>
  <si>
    <t>Hvor  'NEH_NH3' er netto emissionen af ammoniak(NH3) fra afgræsning i kg N, 'kg N ved afgræsning' er mængden af kvælstof på afgræsningsmarken i kg, 'NH3, % af N' er en konstant for afgræsning</t>
  </si>
  <si>
    <t>Net emission der finder sted i stalden</t>
  </si>
  <si>
    <t>Hvor 'NEH_NH3' er netto emissionen af ammoniak(NH3) fra stalden i kg N, 'kg TAN N in stable' er mængden af TAN(urin) kvælstof i stalden i kg, 'NH3, % af TAN N' er en konstant afhængig af staldsystem</t>
  </si>
  <si>
    <t>Total emission fra afgræsning</t>
  </si>
  <si>
    <t>Total emissioner fra afgræsning og stald</t>
  </si>
  <si>
    <t>Input - Afgræsning</t>
  </si>
  <si>
    <t>Forsuring</t>
  </si>
  <si>
    <t xml:space="preserve">Gylle </t>
  </si>
  <si>
    <t>Nielsen et al. 2020</t>
  </si>
  <si>
    <t xml:space="preserve">Bindestald med riste </t>
  </si>
  <si>
    <t>60 % Fast gødning - 40 % ajle</t>
  </si>
  <si>
    <t>Spaltegulvsbokse</t>
  </si>
  <si>
    <t>100 % gylle</t>
  </si>
  <si>
    <t>Total kg N ab dyr</t>
  </si>
  <si>
    <t>kg N strøelse</t>
  </si>
  <si>
    <t>Andel N ab dyr udskilt ved afgræsning</t>
  </si>
  <si>
    <t>Andel N ab dyr i stalden</t>
  </si>
  <si>
    <t xml:space="preserve">   NEH_N2O afgræsning</t>
  </si>
  <si>
    <t xml:space="preserve">   NEH_NH3 afgræsning</t>
  </si>
  <si>
    <t xml:space="preserve">   NEH_N2O stald gylle</t>
  </si>
  <si>
    <t xml:space="preserve">   NEH_N2O stald dybstrøelse</t>
  </si>
  <si>
    <t xml:space="preserve">   NEH_NH3 stald gylle</t>
  </si>
  <si>
    <t xml:space="preserve">   NEH_NH3 stald dybstrøelse</t>
  </si>
  <si>
    <t>kg N ab dyr gylle i stalden + kg N strøelse x N2O, % af N / 100</t>
  </si>
  <si>
    <t>kg TAN ab dyr gylle i stalden x NH3, % af TAN / 100</t>
  </si>
  <si>
    <t>NEH_N2O stald gylle + NEH_N2O stald dybstrøelse</t>
  </si>
  <si>
    <t>NEH_NH3 stald gylle + NEH_NH3 stald dybstrøelse</t>
  </si>
  <si>
    <t>Vs gødning ab dyr i stalden</t>
  </si>
  <si>
    <t>Vs strøelse i stalden</t>
  </si>
  <si>
    <t>NE_CH4 x omregningsfaktor</t>
  </si>
  <si>
    <t>NE_CH4 gylle + NE_CH4 dybstrøelse</t>
  </si>
  <si>
    <t>Årsopdræt, 0-6 mdr., småkalv, jersey</t>
  </si>
  <si>
    <t>Malkekøer, tung race</t>
  </si>
  <si>
    <t>Malkekøer, jersey</t>
  </si>
  <si>
    <t>DMI</t>
  </si>
  <si>
    <t>Biogas</t>
  </si>
  <si>
    <t>Omregning fra emissionsgas til CO2 eq</t>
  </si>
  <si>
    <t>Lattergas</t>
  </si>
  <si>
    <t>Lager - gyllesystem</t>
  </si>
  <si>
    <t>Gylle med flydelag el. lign.</t>
  </si>
  <si>
    <t>Hansen et al. 2008</t>
  </si>
  <si>
    <t>Afgasset gylle med flydelag el. lign.</t>
  </si>
  <si>
    <t>IPCC, 2006 modified by Martin Øvli*</t>
  </si>
  <si>
    <t>Miljøstyrelsen, besøg 26. nov 2020 - https://mst.dk/erhverv/landbrug/miljoeteknologi-og-bat/teknologilisten/gaa-til-teknologilisten/staldindretning/ - For lagret angives 1 % som fordampning, hvilket er 50 % lavere end gylle med flydelag, som står til at have 2 % ammoniakfordampning af total-N</t>
  </si>
  <si>
    <t>* I IPCC 2006 står der at der ikke er nogen lattergas emission fra afgasset gylle. Det samme er gældende når det er ubehandlet gylle. Tilføjes der flydelag til ubehandlet gylle, så stiger lattergas EF til 0,5%. Det må derfor antages afgasset gylle med flydelag også har en EF på 0,5%.</t>
  </si>
  <si>
    <t xml:space="preserve">Dybstrøelse, lang ædeplads med fast gulv </t>
  </si>
  <si>
    <t>Total kg TAN N ab dyr</t>
  </si>
  <si>
    <t>Dybstrøelse med overdækning</t>
  </si>
  <si>
    <t>Netto emissions taking place during storage</t>
  </si>
  <si>
    <t>Virkemidler</t>
  </si>
  <si>
    <t>Hansen et al., 2008</t>
  </si>
  <si>
    <t>Beregning af gylle ab stald, som skal bruges til emissionsberegningerne i lageret:</t>
  </si>
  <si>
    <t>(kg N ab dyr dybstrøelse i stalden + kg N strøelse x N2O, % af N / 100)</t>
  </si>
  <si>
    <t>(kg N dybstrøelse ab stald x N2O, % af N / 100)*0,35</t>
  </si>
  <si>
    <t>(kg N dybstrøelse ab stald x NH3, % af N / 100)*0,35</t>
  </si>
  <si>
    <t>Hvor 'NES_N2O' er netto emissionen af lattergas(N2O) fra lageret i kg N, 'Manure stored at farm' er mængden af dybstrøelse opbevaret på gården i kg N, 'N2O, % af N' er en konstant afhængig af lagersystem, '0,35' fordi 65 % ad dybstrøelsen udbringes direkte fra stalden</t>
  </si>
  <si>
    <t>Hvor 'NES_NH3' er netto emissionen af ammoniak(NH3) fra lageret i kg N, 'Manure stored at farm' er mængden af dybstrøelse opbevaret på gården i kg N, 'NH3, % af N' er en konstant afhængig af lagersystem, 0,35' fordi 65 % ad dybstrøelsen udbringes direkte fra stalden</t>
  </si>
  <si>
    <t>Vs gødning udskilt ved afgræsning</t>
  </si>
  <si>
    <t xml:space="preserve">(Vs gødning udskilt ved afgræsning) x 0,67 x B0 x MCF,% / 100 </t>
  </si>
  <si>
    <t>Total kg Vs ab dyr * (antal dage på afgræsning pr. år/365)*(Antal timer pr. dag/24)</t>
  </si>
  <si>
    <t>Total kg Vs ab dyr - Mængde Vs udskilt ved afgræsning</t>
  </si>
  <si>
    <t>Konventionel</t>
  </si>
  <si>
    <t>Økologisk</t>
  </si>
  <si>
    <t xml:space="preserve">IPCC, 2019 - TABLE 10.21 </t>
  </si>
  <si>
    <t>Dybstrøelse, no mixing</t>
  </si>
  <si>
    <t>IPCC, 2021. IPCC_AR6_WGI_Full_Report, The Physical Science Basis</t>
  </si>
  <si>
    <t>IPCC, 2019 - TABLE 10.16</t>
  </si>
  <si>
    <t>IPCC, 2019 - TABLE 10.17</t>
  </si>
  <si>
    <t>IPCC, 2019 - TABLE 10.21</t>
  </si>
  <si>
    <r>
      <t xml:space="preserve">Miljøstyrelsen, besøg 26. nov 2020 og personlig kommentar fra Torkild Birkemose, SEGES - https://mst.dk/erhverv/landbrug/miljoeteknologi-og-bat/teknologilisten/gaa-til-teknologilisten/staldindretning/   </t>
    </r>
    <r>
      <rPr>
        <sz val="11"/>
        <color rgb="FFFF0000"/>
        <rFont val="Calibri"/>
        <family val="2"/>
        <scheme val="minor"/>
      </rPr>
      <t xml:space="preserve"> or Olesen et al.. 2018</t>
    </r>
  </si>
  <si>
    <t>IPCC, 2019 - TABLE 11.1, EF3prp, cpp</t>
  </si>
  <si>
    <t>EF4</t>
  </si>
  <si>
    <t>EF5</t>
  </si>
  <si>
    <t>kg N2O–N (kg NH3–N + NOX–N volatilised)-1</t>
  </si>
  <si>
    <t>kg N2O–N (kg N leaching/runoff)-1</t>
  </si>
  <si>
    <t>[N volatilisation and re-deposition]</t>
  </si>
  <si>
    <t>[leaching/ runoff]</t>
  </si>
  <si>
    <t>IPCC, 2019 - TABLE 11.3</t>
  </si>
  <si>
    <t>days</t>
  </si>
  <si>
    <t>CO2eq</t>
  </si>
  <si>
    <t>IPCC, 2019 - TABLE 10.21 , EF3</t>
  </si>
  <si>
    <t>IPCC, 2019 - TABLE 10.21, EF3</t>
  </si>
  <si>
    <t>EF3</t>
  </si>
  <si>
    <t>NH3, % af TAN ab dyr med forsuring</t>
  </si>
  <si>
    <t>afgræsning_EF3prp, cpp</t>
  </si>
  <si>
    <t>NEH_N2O afgræsning x (44/28) x 273</t>
  </si>
  <si>
    <t>NEH_NH3 afgræsning x (44/28) x 0,01 x 273</t>
  </si>
  <si>
    <t>(NEH_N2O stald gylle + NEH_N2O stald dybstrøelse) x (44/28) x 273</t>
  </si>
  <si>
    <t>(NEH_NH3 stald gylle NEH_NH3 stald dybstrøelse) x (44/28) x 0,01 x 273</t>
  </si>
  <si>
    <t>NH3, % af TAN ab dyr til biogas</t>
  </si>
  <si>
    <t>MCF %</t>
  </si>
  <si>
    <t>assumption</t>
  </si>
  <si>
    <t>i stalden</t>
  </si>
  <si>
    <t>Total emission</t>
  </si>
  <si>
    <t>i lager</t>
  </si>
  <si>
    <t>Antal dage gylle i stalden</t>
  </si>
  <si>
    <r>
      <t>(Vs gødning + vs strøelse/365) x 0,67 x B0 x MCF,% / 100 x 'antal dage i stalden</t>
    </r>
    <r>
      <rPr>
        <sz val="11"/>
        <color theme="9"/>
        <rFont val="Calibri"/>
        <family val="2"/>
        <scheme val="minor"/>
      </rPr>
      <t xml:space="preserve"> eller i lager</t>
    </r>
    <r>
      <rPr>
        <sz val="11"/>
        <color theme="1"/>
        <rFont val="Calibri"/>
        <family val="2"/>
        <scheme val="minor"/>
      </rPr>
      <t>'</t>
    </r>
  </si>
  <si>
    <t>CH4 - afgræsning, stald og lager</t>
  </si>
  <si>
    <t xml:space="preserve">    N2O direkte - stald</t>
  </si>
  <si>
    <t xml:space="preserve">    N2O indirekte fra NH3 - stald</t>
  </si>
  <si>
    <t>Net emission der finder sted i stalden og lager</t>
  </si>
  <si>
    <t xml:space="preserve">    N2O indirekte fra NH3 - afgræsning</t>
  </si>
  <si>
    <t xml:space="preserve">    N2O direkte - afgræsning</t>
  </si>
  <si>
    <t xml:space="preserve">   N2O direkte - afgræsning og stald</t>
  </si>
  <si>
    <t xml:space="preserve">   N2O indirekte fra NH3 - afgræsning og stald </t>
  </si>
  <si>
    <t>IPCC, 2019 - TABLE 11.3, FracGASM</t>
  </si>
  <si>
    <t>NH3, % af total-N ab dyr (FracGASM)</t>
  </si>
  <si>
    <t>afgræsning_NH3, % af total-N ab dyr (FracGASM)</t>
  </si>
  <si>
    <t>FracLEACH</t>
  </si>
  <si>
    <t>kg N losses by leaching/runoff</t>
  </si>
  <si>
    <t xml:space="preserve">    N2O indirekte fra NO3 - afgræsning</t>
  </si>
  <si>
    <t>NEH_NO3 afgræsning x (44/28) x 0,011 x 273</t>
  </si>
  <si>
    <t xml:space="preserve">   NEH_NO3 - afgræsning</t>
  </si>
  <si>
    <t>kg N ab dyr ved afgræsning x NO3, % af N / 100</t>
  </si>
  <si>
    <t>(Vs gødning ab stald + (Vs strøelse i stalden x ( 365 - antal dage på afgræsning) / 365) x ((24 - antal timer på afgræsning pr. dag) / 24)) / 365 x 0,67 x B0 x MCF,% / 100 x 'antal dage i stalden eller i lager' x (1+konstant for teknologi * andel af gyllen der behandles/100)</t>
  </si>
  <si>
    <t>.</t>
  </si>
  <si>
    <t>N2O,NH3_Gylle_Stald</t>
  </si>
  <si>
    <t>Korrektion af ab lager værdier for afvigende indgangsalder og/eller afgangsalder (mdr.):</t>
  </si>
  <si>
    <t>Der korrigeres med følgende faktor for både kvælstof og fosfor: (((alder, ind + alder, ud) * 0,0729) + 1,93) / 2,37</t>
  </si>
  <si>
    <t>Der korrigeres med følgende faktor for både kvælstof og fosfor: (((alder, ind + alder, ud) * 0,0576) + 1,46) / 1,81</t>
  </si>
  <si>
    <t>Der korrigeres med følgende faktor for både kvælstof og fosfor: (((alder, ind + alder, ud) * 0,0729) + 1,93) / 4,34</t>
  </si>
  <si>
    <t>Der korrigeres med følgende faktor for både kvælstof og fosfor: (((alder, ind + alder, ud) * 0,0576) + 1,46) /3,25</t>
  </si>
  <si>
    <t xml:space="preserve"> </t>
  </si>
  <si>
    <t>Korrektion af ab lager værdier for afvigende indgangs- og/eller afgangsvægt (kg):</t>
  </si>
  <si>
    <t>(1,825 x (vægt, afgang – vægt, ind) + 0,00605 x (vægt, afgang2 – vægt, ind2)) / 1234</t>
  </si>
  <si>
    <t>(2,308 x (vægt, afgang – vægt, ind) + 0,00676 x (vægt, afgang2 – vægt, ind2)) / 979</t>
  </si>
  <si>
    <t>correction factor</t>
  </si>
  <si>
    <t>N2O,NH3_Gylle_Lager</t>
  </si>
  <si>
    <t>direct N2O-N, % af N</t>
  </si>
  <si>
    <t xml:space="preserve">Type 1 granuleret </t>
  </si>
  <si>
    <t>xxx</t>
  </si>
  <si>
    <t>Dybstrøelse, lang ædeplads, fast drænet gulv med skraber og ajleafløb</t>
  </si>
  <si>
    <t>Dybstrøelse, kort ædeplads</t>
  </si>
  <si>
    <t>Input - Sengestald med spalter (...)</t>
  </si>
  <si>
    <t>Input - Dybstrøelse, lang ædeplads med spalter (...)</t>
  </si>
  <si>
    <t>corresponding to days</t>
  </si>
  <si>
    <t>housing %</t>
  </si>
  <si>
    <t>calc. for verification (total kg Vs per år)</t>
  </si>
  <si>
    <t>calc for verification (365)</t>
  </si>
  <si>
    <t>NE_CH4 - housing 1</t>
  </si>
  <si>
    <t>NE_CH4 - housing 2</t>
  </si>
  <si>
    <t>NE_CH4 med forsuring - housing 2</t>
  </si>
  <si>
    <t>NE_CH4 med forsuring - housing 1</t>
  </si>
  <si>
    <t>Afgræsning + x% Sengestald med spalter (...) + y% Dybstrøelse, lang ædeplads med spalter (...)</t>
  </si>
  <si>
    <t>Andel N ab dyr i stalden_ gylle :dybstrøelse - housing 1</t>
  </si>
  <si>
    <t>Andel N ab dyr i stalden_ gylle :dybstrøelse - housing 2</t>
  </si>
  <si>
    <t>kg TAN N ab dyr - housing 2</t>
  </si>
  <si>
    <t>kg TAN N ab dyr - housing 1</t>
  </si>
  <si>
    <t>housing 1</t>
  </si>
  <si>
    <t>housing 2</t>
  </si>
  <si>
    <t>grazing</t>
  </si>
  <si>
    <t>total N from N20</t>
  </si>
  <si>
    <t>total N from NH3</t>
  </si>
  <si>
    <t>Stald - housing 1</t>
  </si>
  <si>
    <t>Stald - housing 2</t>
  </si>
  <si>
    <t>+ kg N fra strøelse - housing 1</t>
  </si>
  <si>
    <t>+ kg N fra strøelse - housing 2</t>
  </si>
  <si>
    <t>manure to anaerobic digestor</t>
  </si>
  <si>
    <t>NE_CH4 incl. Anaerobic Digestion  - housing 1</t>
  </si>
  <si>
    <t>NE_CH4 incl. Anaerobic Digestion  - housing 2</t>
  </si>
  <si>
    <t xml:space="preserve">Total incl. Anaerobic Digestion </t>
  </si>
  <si>
    <t xml:space="preserve">CH4 - afgræsning, stald og lager incl. Anaerobic Digestion </t>
  </si>
  <si>
    <t>Kødkvæg</t>
  </si>
  <si>
    <t>Køer</t>
  </si>
  <si>
    <t>tk</t>
  </si>
  <si>
    <t>jk</t>
  </si>
  <si>
    <t>Kvier u. 18. mdr.</t>
  </si>
  <si>
    <t>tku18</t>
  </si>
  <si>
    <t>jku18</t>
  </si>
  <si>
    <t>Kvier o. 18. mdr.</t>
  </si>
  <si>
    <t>tko18</t>
  </si>
  <si>
    <t>jko18</t>
  </si>
  <si>
    <t>Tyre u. 12 mdr.</t>
  </si>
  <si>
    <t>Tyre o. 12 mdr.</t>
  </si>
  <si>
    <t>Stude</t>
  </si>
  <si>
    <t>Kalve 0-3 mdr.</t>
  </si>
  <si>
    <t>tts</t>
  </si>
  <si>
    <t>jts</t>
  </si>
  <si>
    <t>(1,825 x (vægt, afgang – vægt, ind) + 0,00605 x ((vægt, afgang)2 – (vægt, ind)2)) / 657</t>
  </si>
  <si>
    <t>(2,308 x (vægt, afgang – vægt, ind) + 0,00676 x ((vægt, afgang)2 – (vægt, ind)2)) / 443</t>
  </si>
  <si>
    <t>tk_Sengestald med spalter (kanal, bagskyl eller ringkanal) - gylle</t>
  </si>
  <si>
    <t>tk_Dybstrøelse, lang ædeplads med spalter (kanal, bagskyl eller ringkanal) - gylle</t>
  </si>
  <si>
    <t>tk_Dybstrøelse, lang ædeplads med spalter (kanal, bagskyl eller ringkanal) - dybstrøelse</t>
  </si>
  <si>
    <t>tku18_Dybstrøelse, lang ædeplads med spalter (kanal, bagskyl eller ringkanal) - gylle</t>
  </si>
  <si>
    <t>tku18_Dybstrøelse, lang ædeplads med spalter (kanal, bagskyl eller ringkanal) - dybstrøelse</t>
  </si>
  <si>
    <t>Malkekøer, tung race Køer -tk</t>
  </si>
  <si>
    <t>Malkekøer, tung race Kvier u. 18. mdr. -tku18</t>
  </si>
  <si>
    <t>Malkekøer, tung race Kvier o. 18. mdr. -tko18</t>
  </si>
  <si>
    <t>Malkekøer, tung race Stude -tts</t>
  </si>
  <si>
    <t>tku18_Sengestald med spaltegulv (kanal, bagskyl eller ringkanal) - gylle</t>
  </si>
  <si>
    <t>tko18_Sengestald med spaltegulv (kanal, bagskyl eller ringkanal) - gylle</t>
  </si>
  <si>
    <t>tko18_Dybstrøelse, lang ædeplads med spalter (kanal, bagskyl eller ringkanal) - gylle</t>
  </si>
  <si>
    <t>tko18_Dybstrøelse, lang ædeplads med spalter (kanal, bagskyl eller ringkanal) - dybstrøelse</t>
  </si>
  <si>
    <t>tts_Sengestald med spaltegulv (kanal, bagskyl eller ringkanal) - gylle</t>
  </si>
  <si>
    <t>tts_Dybstrøelse, lang ædeplads med spalter (kanal, bagskyl eller ringkanal) - gylle</t>
  </si>
  <si>
    <t>tts_Dybstrøelse, lang ædeplads med spalter (kanal, bagskyl eller ringkanal) - dybstrøelse</t>
  </si>
  <si>
    <t>ttu12_Dybstrøelse, lang ædeplads med spalter (kanal, bagskyl eller ringkanal) - gylle</t>
  </si>
  <si>
    <t>ttu12_Sengestald med spaltegulv (kanal, bagskyl eller ringkanal) - gylle</t>
  </si>
  <si>
    <t>ttu12_Dybstrøelse, lang ædeplads med spalter (kanal, bagskyl eller ringkanal) - dybstrøelse</t>
  </si>
  <si>
    <t>Malkekøer, tung race Tyre u. 12 mdr. -ttu12</t>
  </si>
  <si>
    <t>Malkekøer, tung race Tyre o. 12 mdr. -tto12</t>
  </si>
  <si>
    <t>ttu12</t>
  </si>
  <si>
    <t>tto12</t>
  </si>
  <si>
    <t>jtu12</t>
  </si>
  <si>
    <t>jto12</t>
  </si>
  <si>
    <t>tto12_Sengestald med spaltegulv (kanal, bagskyl eller ringkanal) - gylle</t>
  </si>
  <si>
    <t>tto12_Dybstrøelse, lang ædeplads med spalter (kanal, bagskyl eller ringkanal) - gylle</t>
  </si>
  <si>
    <t>tto12_Dybstrøelse, lang ædeplads med spalter (kanal, bagskyl eller ringkanal) - dybstrøelse</t>
  </si>
  <si>
    <t>partial</t>
  </si>
  <si>
    <t xml:space="preserve">CO2eq from CH4 - afgræsning, stald og lager incl. Anaerobic Digestion </t>
  </si>
  <si>
    <t>SUM per animal</t>
  </si>
  <si>
    <t>tt03_Dybstrøelse (hele arealet) - Dybstrøelse</t>
  </si>
  <si>
    <t>tk03_Dybstrøelse (hele arealet) - Dybstrøelse</t>
  </si>
  <si>
    <t>0-3 months</t>
  </si>
  <si>
    <t>Ekstensive</t>
  </si>
  <si>
    <t>Intensive</t>
  </si>
  <si>
    <t>Animal groups &amp; Abbreviations</t>
  </si>
  <si>
    <t>kke</t>
  </si>
  <si>
    <t>aku18e</t>
  </si>
  <si>
    <t>ako18e</t>
  </si>
  <si>
    <t>atse</t>
  </si>
  <si>
    <t>kki</t>
  </si>
  <si>
    <t>aku18i</t>
  </si>
  <si>
    <t>ako18i</t>
  </si>
  <si>
    <t>atsi</t>
  </si>
  <si>
    <t>tkø</t>
  </si>
  <si>
    <t>tku18ø</t>
  </si>
  <si>
    <t>tko18ø</t>
  </si>
  <si>
    <t>tk03ø</t>
  </si>
  <si>
    <t>ttu12ø</t>
  </si>
  <si>
    <t>tto12ø</t>
  </si>
  <si>
    <t>ttsø</t>
  </si>
  <si>
    <t>jkø</t>
  </si>
  <si>
    <t>jku18ø</t>
  </si>
  <si>
    <t>jko18ø</t>
  </si>
  <si>
    <t>jk03ø</t>
  </si>
  <si>
    <t>jtu12ø</t>
  </si>
  <si>
    <t>jto12ø</t>
  </si>
  <si>
    <t>jtsø</t>
  </si>
  <si>
    <t>Malkekøer, tung race krydsning</t>
  </si>
  <si>
    <t>Malkekøer, jersey krydsning</t>
  </si>
  <si>
    <t>Malkekøer, tung race krydsning Tyrekalv 0-3 mdr.</t>
  </si>
  <si>
    <t>Malkekøer, jersey krydsning Tyrekalv 0-3 mdr.</t>
  </si>
  <si>
    <t/>
  </si>
  <si>
    <t>Excel A</t>
  </si>
  <si>
    <t>Excel B</t>
  </si>
  <si>
    <t>Excel C</t>
  </si>
  <si>
    <t>Excel D</t>
  </si>
  <si>
    <t>Excel E</t>
  </si>
  <si>
    <t>Input - Dybstrøelse (hele arealet)</t>
  </si>
  <si>
    <t>tk06</t>
  </si>
  <si>
    <t>Malkekøer, tung race Kalve 0-6 mdr. -tk06</t>
  </si>
  <si>
    <t>tt06</t>
  </si>
  <si>
    <t>230-420 kg</t>
  </si>
  <si>
    <t>230-512 kg</t>
  </si>
  <si>
    <t>Normtal exit weight is 440</t>
  </si>
  <si>
    <t>tk06_Dybstrøelse (hele arealet) - Dybstrøelse</t>
  </si>
  <si>
    <t>tt06_Dybstrøelse (hele arealet) - Dybstrøelse</t>
  </si>
  <si>
    <t>Kalve 0-6 mdr.</t>
  </si>
  <si>
    <t>jk06</t>
  </si>
  <si>
    <t>jt06</t>
  </si>
  <si>
    <t>tk06ø</t>
  </si>
  <si>
    <t>jk06ø</t>
  </si>
  <si>
    <t>tt06ø</t>
  </si>
  <si>
    <t>jt06ø</t>
  </si>
  <si>
    <t>Malkekøer, tung race krydsning Tyrekalv 0-6 mdr.</t>
  </si>
  <si>
    <t>Malkekøer, jersey krydsning Tyrekalv 0-6 mdr.</t>
  </si>
  <si>
    <t>6-24.8 months</t>
  </si>
  <si>
    <t>TAN</t>
  </si>
  <si>
    <t>Total kg N (eller TAN) ab dyr * (antal dage på afgræsning pr. år/365)*(Antal timer pr. dag/24)</t>
  </si>
  <si>
    <t>Total kg N (eller TAN) ab dyr - Andel N udskilt ved afgræsning</t>
  </si>
  <si>
    <t>Lager 2 - dybstrøelse</t>
  </si>
  <si>
    <t>Lager 1 - gyllesystem</t>
  </si>
  <si>
    <t>Lager 1</t>
  </si>
  <si>
    <t>NH3, % af TAN ab dyr fra Afgasset gylle</t>
  </si>
  <si>
    <t>manure "virkemidler"</t>
  </si>
  <si>
    <t>Lager 2</t>
  </si>
  <si>
    <t>- NEH_N2O - housing 1</t>
  </si>
  <si>
    <t>- NEH_NH3 - housing 2</t>
  </si>
  <si>
    <t>- NEH_NH3 - housing 1</t>
  </si>
  <si>
    <t>- NEH_N2O - housing 2</t>
  </si>
  <si>
    <t>Remaining kg N ab dyr from h1</t>
  </si>
  <si>
    <t>Remaining kg N ab dyr from h2</t>
  </si>
  <si>
    <t>Andel N ab dyr i stalden - housing 1</t>
  </si>
  <si>
    <t>Andel N ab dyr i stalden - housing 2</t>
  </si>
  <si>
    <t xml:space="preserve">   NES_N2O - housing 2</t>
  </si>
  <si>
    <t xml:space="preserve">   NES_NH3 - housing 2</t>
  </si>
  <si>
    <t xml:space="preserve">   NES_N2O - housing 1</t>
  </si>
  <si>
    <t xml:space="preserve">   NES_NH3 - housing 1</t>
  </si>
  <si>
    <t>tk03_Dybstrøelse (hele arealet) - Gylle</t>
  </si>
  <si>
    <t>tk06_Dybstrøelse (hele arealet) - Gylle</t>
  </si>
  <si>
    <t>Hvor 'NES_N2O' er netto emissionen af lattergas(N2O) fra lageret i kg N, 'Manure stored at farm' er mængden af dybstrøelse opbevaret på gården i kg N, 'N2O, % af N' er en konstant afhængig af lagersystem,</t>
  </si>
  <si>
    <t xml:space="preserve">Hvor 'NES_NH3' er netto emissionen af ammoniak(NH3) fra lageret i kg N, 'Manure stored at farm' er mængden af dybstrøelse opbevaret på gården i kg N, 'NH3, % af N' er en konstant afhængig af lagersystem, </t>
  </si>
  <si>
    <t>housing</t>
  </si>
  <si>
    <t>manure tank</t>
  </si>
  <si>
    <t>Total emissioner fra lageret</t>
  </si>
  <si>
    <t>IPCC, 2019 - TABLE 10.17  (0.47%)</t>
  </si>
  <si>
    <t>NorFor equations</t>
  </si>
  <si>
    <t xml:space="preserve">   Only Cows</t>
  </si>
  <si>
    <t>Y = (1,230 x DMI - 0,145 x FA_DM + 0,012 x NDF_DM) / 55,65 x 1000</t>
  </si>
  <si>
    <t>, where Y=enteric methane in grams, DMI = feed intake in kg dry matter, FA_DM = fatty acid in grams per kg dry matter, NDF_DM = neutral detergent fiber in grams per kg dry matter, 55,65 is a conversion factor from MJ to g.</t>
  </si>
  <si>
    <t xml:space="preserve">   Young stock, heifer, calves, ect..</t>
  </si>
  <si>
    <t>Y = (1,6105 + 0,5615 x DMI_c + 1,3511 x DMI_f + 0,000309 x rd_NDF - 0,00379 x FA_intake - 0,00266 x Ash_intake) / 55,65 x 1000</t>
  </si>
  <si>
    <t>, where Y=enteric methane in grams, DMI_c = feed intake of concentrate in kg dry matter, DMI_f = feed intake of forage in kg dry matter, rd_NDF = rumen digested NDF in g/dag, FA_intake = fatty acid intake in g/day dry matter, Ash_intake = ash intake in g/day, 55,65 is a conversion factor from MJ to g.</t>
  </si>
  <si>
    <t>National inventory</t>
  </si>
  <si>
    <t xml:space="preserve">   Dairy cows</t>
  </si>
  <si>
    <t xml:space="preserve">   Other cattle</t>
  </si>
  <si>
    <t>FA_DM</t>
  </si>
  <si>
    <t>NDF_DM</t>
  </si>
  <si>
    <t>Tyrekalv 0-6 mdr.</t>
  </si>
  <si>
    <t>DMI_c</t>
  </si>
  <si>
    <t>DMI_f</t>
  </si>
  <si>
    <t>rd_NDF</t>
  </si>
  <si>
    <t>FA_intake</t>
  </si>
  <si>
    <t>Ash_intake</t>
  </si>
  <si>
    <t>Y</t>
  </si>
  <si>
    <t>ash intake in 
g/day</t>
  </si>
  <si>
    <t>fatty acid in 
g / kg dm</t>
  </si>
  <si>
    <t xml:space="preserve"> feed intake in 
kg dm</t>
  </si>
  <si>
    <t>feed intake of concentrate in 
kg dm</t>
  </si>
  <si>
    <t>feed intake of forage in 
kg dm</t>
  </si>
  <si>
    <t>rumen digested NDF in 
g/day</t>
  </si>
  <si>
    <t>fatty acid intake in 
g/day dm</t>
  </si>
  <si>
    <t>neutral detergent fiber in 
g / kg dm</t>
  </si>
  <si>
    <t>6-24.2 months</t>
  </si>
  <si>
    <t>6-22.3 months</t>
  </si>
  <si>
    <t>152-394 kg</t>
  </si>
  <si>
    <t>152-456 kg</t>
  </si>
  <si>
    <t>-</t>
  </si>
  <si>
    <t>Enteric fermentation</t>
  </si>
  <si>
    <t>GWP impacts from enteric fermentation</t>
  </si>
  <si>
    <t>GWP impacts from feed</t>
  </si>
  <si>
    <t>GWP impacts from manure (incl. grazing, housing and manure tank)</t>
  </si>
  <si>
    <t>Total incl. Anaerobic Digestion  kg CH4</t>
  </si>
  <si>
    <t>Total incl. Anaerobic Digestion  kg CO2eq</t>
  </si>
  <si>
    <t>calf growth aggr</t>
  </si>
  <si>
    <t>m_grazing</t>
  </si>
  <si>
    <t>ent.ferm</t>
  </si>
  <si>
    <t>feed</t>
  </si>
  <si>
    <t>verification</t>
  </si>
  <si>
    <t>at06i</t>
  </si>
  <si>
    <t>ak06i</t>
  </si>
  <si>
    <t>ak06e</t>
  </si>
  <si>
    <t>at06e</t>
  </si>
  <si>
    <t>atu12i</t>
  </si>
  <si>
    <t>ato12i</t>
  </si>
  <si>
    <t>atu12e</t>
  </si>
  <si>
    <t>ato12e</t>
  </si>
  <si>
    <t>Ungtyre, 6 mdr. til slagtning (440 kg), jersey, (1 produceret ungtyr)</t>
  </si>
  <si>
    <t xml:space="preserve">1 produceret tyrekalv, 0-6 mdr, jersey </t>
  </si>
  <si>
    <t>Årsopdræt 6 mdr. til kælvning (25 mdr) (kvier og stude), jersey</t>
  </si>
  <si>
    <t>Ved opgørelse af fodermængde og indhold af råprotein i foderet skal korrektionsfaktoren beregnes ved hjælp af formlen:</t>
  </si>
  <si>
    <t>((FE pr årsko * g råprotein pr FE/6250) – 10,29) / 72,41</t>
  </si>
  <si>
    <t>Køer, int</t>
  </si>
  <si>
    <t>Kvier u. 18. mdr., int</t>
  </si>
  <si>
    <t>Kvier o. 18. mdr., int</t>
  </si>
  <si>
    <t>Kalve 0-6 mdr., int</t>
  </si>
  <si>
    <t>Tyre u. 12 mdr., int</t>
  </si>
  <si>
    <t>Tyre o. 12 mdr., int</t>
  </si>
  <si>
    <t>Stude, int</t>
  </si>
  <si>
    <t>calf06.excl ent.f &amp; feed</t>
  </si>
  <si>
    <t>Køer, ext</t>
  </si>
  <si>
    <t>Kvier u. 18. mdr., ext</t>
  </si>
  <si>
    <t>Kvier o. 18. mdr., ext</t>
  </si>
  <si>
    <t>Kalve 0-6 mdr., ext</t>
  </si>
  <si>
    <t>Tyre u. 12 mdr., ext</t>
  </si>
  <si>
    <t>Tyre o. 12 mdr., ext</t>
  </si>
  <si>
    <t>Stude, ext</t>
  </si>
  <si>
    <t>(((alder, ind + alder, ud) * 0,0576) + 1,46) /3,25</t>
  </si>
  <si>
    <t>anything below this line will be ignored by the INDEX MATCH formulas (placed in the other woksheet) that picks the values from this worksheet</t>
  </si>
  <si>
    <t>solution: add rows above the yellow line</t>
  </si>
  <si>
    <t>Malkekøer, jersey Køer -jk</t>
  </si>
  <si>
    <t>Malkekøer, jersey Kalve 0-6 mdr. -jk06</t>
  </si>
  <si>
    <t>Malkekøer, jersey Kvier u. 18. mdr. -jku18</t>
  </si>
  <si>
    <t>Malkekøer, jersey Kvier o. 18. mdr. -jko18</t>
  </si>
  <si>
    <t>Malkekøer, jersey Stude -jts</t>
  </si>
  <si>
    <t>Malkekøer, jersey Tyrekalve 0-6 mdr. -jt06</t>
  </si>
  <si>
    <t>Malkekøer, jersey Tyre o. 12 mdr. -jto12</t>
  </si>
  <si>
    <t>Malkekøer, jersey Tyre u. 12 mdr. -jtu12</t>
  </si>
  <si>
    <t>Kødkvæg Køer, int -kki</t>
  </si>
  <si>
    <t>Kødkvæg Kalve 0-6 mdr., int -ak06i</t>
  </si>
  <si>
    <t>Kødkvæg Kvier u. 18. mdr., int -aku18i</t>
  </si>
  <si>
    <t>Kødkvæg Kvier o. 18. mdr., int -ako18i</t>
  </si>
  <si>
    <t>Kødkvæg Stude, int -atsi</t>
  </si>
  <si>
    <t>Kødkvæg Tyrekalv 0-6 mdr., int -at06i</t>
  </si>
  <si>
    <t>Kødkvæg Tyre u. 12 mdr. -atu12i</t>
  </si>
  <si>
    <t>Kødkvæg Tyre o. 12 mdr. -ato12i</t>
  </si>
  <si>
    <t>Kødkvæg Køer, ext -kke</t>
  </si>
  <si>
    <t>Kødkvæg Kalve 0-6 mdr., ext -ak06e</t>
  </si>
  <si>
    <t>Kødkvæg Kvier u. 18. mdr., ext -aku18e</t>
  </si>
  <si>
    <t>Kødkvæg Kvier o. 18. mdr., ext -ako18e</t>
  </si>
  <si>
    <t>Kødkvæg Stude, ext -atse</t>
  </si>
  <si>
    <t>Kødkvæg Tyrekalve 0-6 mdr. -at06e</t>
  </si>
  <si>
    <t>Kødkvæg Tyre u. 12 mdr., ext -atu12e</t>
  </si>
  <si>
    <t>Kødkvæg Tyre o. 12 mdr., ext -ato12e</t>
  </si>
  <si>
    <t>230-568 kg</t>
  </si>
  <si>
    <t>230-668 kg</t>
  </si>
  <si>
    <t>6-14.7 months</t>
  </si>
  <si>
    <t>6-26.5  months</t>
  </si>
  <si>
    <t>6-27.9  months</t>
  </si>
  <si>
    <t>6-14.9  months</t>
  </si>
  <si>
    <t>correction</t>
  </si>
  <si>
    <t>based on</t>
  </si>
  <si>
    <t>6-29.4 months</t>
  </si>
  <si>
    <t>152-418 kg</t>
  </si>
  <si>
    <t>6-28.8 months</t>
  </si>
  <si>
    <t>152-562 kg</t>
  </si>
  <si>
    <t>Tyrekalv 0-6 mdr., int</t>
  </si>
  <si>
    <t>Tyrekalv 0-6 mdr., ext</t>
  </si>
  <si>
    <t>𝐸𝐹 = 𝐸𝐹𝑤𝑖𝑛𝑡𝑒𝑟 + 𝐸𝐹𝑠𝑢𝑚𝑚𝑒𝑟</t>
  </si>
  <si>
    <t>𝐸𝐹𝑤𝑖𝑛𝑡𝑒𝑟,𝑑𝑎𝑖𝑟𝑦 𝑐𝑎𝑡𝑡𝑙𝑒 = 𝐹 ∙ ( (𝐺𝐸𝐹 𝑤𝑖𝑛𝑡𝑒𝑟⁄55.65) ∙ 𝑌𝑚 𝑒𝑥𝑐𝑙 𝑏𝑒𝑒𝑡 ∙ (1 − 𝑔𝑟𝑎𝑧𝑖𝑛𝑔 𝑑𝑎𝑦𝑠⁄365 − 𝑑𝑎𝑦𝑠 𝑤𝑖𝑡ℎ 𝑏𝑒𝑒𝑡⁄365) + (𝐺𝐸𝐹 𝑤𝑖𝑛𝑡𝑒𝑟⁄55.65) ∙ 𝑌𝑚 𝑖𝑛𝑐𝑙 𝑏𝑒𝑒𝑡 ∙ 𝑑𝑎𝑦𝑠 𝑤𝑖𝑡ℎ 𝑏𝑒𝑒𝑡⁄365 )</t>
  </si>
  <si>
    <t>𝐸𝐹𝑠𝑢𝑚𝑚𝑒𝑟,𝑑𝑎𝑖𝑟𝑦 𝑐𝑎𝑡𝑡𝑙𝑒 = 𝐹 ∙ (GEF summer⁄55.65) ∙ 𝑌𝑚 𝑔𝑟𝑎𝑧𝑖𝑛𝑔 ∙𝑔𝑟𝑎𝑧𝑖𝑛𝑔 𝑑𝑎𝑦𝑠 /365</t>
  </si>
  <si>
    <t>Ym grazing</t>
  </si>
  <si>
    <t>Simplified NIR equation (no beet, Ym excl. sugar beet  = Ym grazing)</t>
  </si>
  <si>
    <t>Only dairy cows</t>
  </si>
  <si>
    <t>EF = Emission factor for feed, kg CH4 per head per year; F = feed, kg DM; GEF = gross energy per kg DM, MJ per kg DM</t>
  </si>
  <si>
    <t>6-14.2 months</t>
  </si>
  <si>
    <t>6-13 months</t>
  </si>
  <si>
    <t>6-15 months</t>
  </si>
  <si>
    <t>6-25.8 months</t>
  </si>
  <si>
    <t>6-26.9 months</t>
  </si>
  <si>
    <t>6-15.9 months</t>
  </si>
  <si>
    <t>6-24.9 months</t>
  </si>
  <si>
    <t>230-374 kg</t>
  </si>
  <si>
    <t>230-502 kg</t>
  </si>
  <si>
    <t>152-295.8 kg</t>
  </si>
  <si>
    <t>152-420.8 kg</t>
  </si>
  <si>
    <t>6-11.6 months</t>
  </si>
  <si>
    <t>6-24.6 months</t>
  </si>
  <si>
    <t>6-15.3 months</t>
  </si>
  <si>
    <t>6-24.4 months</t>
  </si>
  <si>
    <t>6-13.1 months</t>
  </si>
  <si>
    <t>6-26.4 months</t>
  </si>
  <si>
    <t>6-22.4 months</t>
  </si>
  <si>
    <t>6-15.4 months</t>
  </si>
  <si>
    <t>6-25 months</t>
  </si>
  <si>
    <t>6-24.3 months</t>
  </si>
  <si>
    <t>GEFtot</t>
  </si>
  <si>
    <t>gross energy 
MJ per kg DM</t>
  </si>
  <si>
    <r>
      <t>, where Y=enteric methane in grams, DMI_c = feed intake of concentrate in kg dry matter, DMI_f = feed intake of forage in kg dry matter, rd_NDF = rumen digested NDF in g/</t>
    </r>
    <r>
      <rPr>
        <sz val="11"/>
        <color rgb="FFFF0000"/>
        <rFont val="Calibri"/>
        <family val="2"/>
        <scheme val="minor"/>
      </rPr>
      <t>dag</t>
    </r>
    <r>
      <rPr>
        <sz val="11"/>
        <color theme="1"/>
        <rFont val="Calibri"/>
        <family val="2"/>
        <scheme val="minor"/>
      </rPr>
      <t>, FA_intake = fatty acid intake in g/</t>
    </r>
    <r>
      <rPr>
        <sz val="11"/>
        <color rgb="FFFF0000"/>
        <rFont val="Calibri"/>
        <family val="2"/>
        <scheme val="minor"/>
      </rPr>
      <t>day</t>
    </r>
    <r>
      <rPr>
        <sz val="11"/>
        <color theme="1"/>
        <rFont val="Calibri"/>
        <family val="2"/>
        <scheme val="minor"/>
      </rPr>
      <t xml:space="preserve"> dry matter, Ash_intake = ash intake in g/</t>
    </r>
    <r>
      <rPr>
        <sz val="11"/>
        <color rgb="FFFF0000"/>
        <rFont val="Calibri"/>
        <family val="2"/>
        <scheme val="minor"/>
      </rPr>
      <t>day</t>
    </r>
    <r>
      <rPr>
        <sz val="11"/>
        <color theme="1"/>
        <rFont val="Calibri"/>
        <family val="2"/>
        <scheme val="minor"/>
      </rPr>
      <t>, 55,65 is a conversion factor from MJ to g.</t>
    </r>
  </si>
  <si>
    <t>Korn (vårbyg), kg  ww</t>
  </si>
  <si>
    <t>Rapsskrå, kg  ww</t>
  </si>
  <si>
    <t>Raps-kager, kg  ww</t>
  </si>
  <si>
    <t>Majs-ensilage, middel FK, kg  ww</t>
  </si>
  <si>
    <t>Kløvergræsensilage, høj FK, 20 %, kg  ww</t>
  </si>
  <si>
    <t>Kløvergræsensilage, middel FK, 20 %, kg  ww</t>
  </si>
  <si>
    <t>Kløvergræsensilage, lav FK, 20 %, kg  ww</t>
  </si>
  <si>
    <t>Kløverhø, lav FK, kg  ww</t>
  </si>
  <si>
    <t>Kløvergræs, 6-8 cm, 20 %, kg  ww</t>
  </si>
  <si>
    <t>Varigt enggræs, kg  ww</t>
  </si>
  <si>
    <t>Sødmælk, kg  ww</t>
  </si>
  <si>
    <t>Mælkeerstatning, kg  ww</t>
  </si>
  <si>
    <t>Foder-halm (vårbyg), kg  ww</t>
  </si>
  <si>
    <t>Enteric Fermentation</t>
  </si>
  <si>
    <t>Feed cultivation</t>
  </si>
  <si>
    <t>kg CO2eq / animal feed intake /day</t>
  </si>
  <si>
    <t xml:space="preserve">   NES_NH3 - housing 1 incl. Anaerobic Digestion</t>
  </si>
  <si>
    <t xml:space="preserve">    NH3 - stald incl. Anaerobic Digestion</t>
  </si>
  <si>
    <t>days / month</t>
  </si>
  <si>
    <t>entry month</t>
  </si>
  <si>
    <t>exit month</t>
  </si>
  <si>
    <t>living days</t>
  </si>
  <si>
    <t>kg CH4 / day</t>
  </si>
  <si>
    <t>Kridt, kg ww</t>
  </si>
  <si>
    <t>Type 1 granuleret , kg ww</t>
  </si>
  <si>
    <t xml:space="preserve">  /day</t>
  </si>
  <si>
    <t>kg CO2eq / feed ingredient / day</t>
  </si>
  <si>
    <t>kg CO2eq / lifetime</t>
  </si>
  <si>
    <t>month</t>
  </si>
  <si>
    <r>
      <t>10</t>
    </r>
    <r>
      <rPr>
        <vertAlign val="superscript"/>
        <sz val="11"/>
        <color theme="1"/>
        <rFont val="Calibri"/>
        <family val="2"/>
        <scheme val="minor"/>
      </rPr>
      <t>6</t>
    </r>
    <r>
      <rPr>
        <sz val="11"/>
        <color theme="1"/>
        <rFont val="Calibri"/>
        <family val="2"/>
        <scheme val="minor"/>
      </rPr>
      <t xml:space="preserve"> kg CO2eq in DK / animal lifetime</t>
    </r>
  </si>
  <si>
    <t>kg CO2eq / animal lifetime</t>
  </si>
  <si>
    <t>Malkekøer, tung race Køer -tk (1year)</t>
  </si>
  <si>
    <t>kg CO2eq /  animal lifetime</t>
  </si>
  <si>
    <t>(kg N gylle ab stald x N2O, % af N / 100)</t>
  </si>
  <si>
    <t>(kg N gylle ab stald x NH3, % af N / 100)</t>
  </si>
  <si>
    <t>Remaining kg TAN N ab dyr from h1 incl. Anaerobic digestion</t>
  </si>
  <si>
    <t>m_housing+tank</t>
  </si>
  <si>
    <t>(kg N gylle ab stald x NH3, % af N / 100) * (1+net_effekt)</t>
  </si>
  <si>
    <t xml:space="preserve">CO2eq from N2O - afgræsning, stald og lager incl. Anaerobic Digestion </t>
  </si>
  <si>
    <t>kg CO2eq / meat</t>
  </si>
  <si>
    <t>allocation factor</t>
  </si>
  <si>
    <t>Part 1</t>
  </si>
  <si>
    <t>Part 2</t>
  </si>
  <si>
    <r>
      <rPr>
        <sz val="11"/>
        <color rgb="FF0070C0"/>
        <rFont val="Calibri"/>
        <family val="2"/>
        <scheme val="minor"/>
      </rPr>
      <t>230</t>
    </r>
    <r>
      <rPr>
        <sz val="11"/>
        <color theme="1"/>
        <rFont val="Calibri"/>
        <family val="2"/>
        <scheme val="minor"/>
      </rPr>
      <t>- 442 kg</t>
    </r>
  </si>
  <si>
    <r>
      <rPr>
        <sz val="11"/>
        <color rgb="FF0070C0"/>
        <rFont val="Calibri"/>
        <family val="2"/>
        <scheme val="minor"/>
      </rPr>
      <t>230</t>
    </r>
    <r>
      <rPr>
        <sz val="11"/>
        <color theme="1"/>
        <rFont val="Calibri"/>
        <family val="2"/>
        <scheme val="minor"/>
      </rPr>
      <t>- 588 kg</t>
    </r>
  </si>
  <si>
    <r>
      <rPr>
        <sz val="11"/>
        <color rgb="FF0070C0"/>
        <rFont val="Calibri"/>
        <family val="2"/>
        <scheme val="minor"/>
      </rPr>
      <t>152</t>
    </r>
    <r>
      <rPr>
        <sz val="11"/>
        <color theme="1"/>
        <rFont val="Calibri"/>
        <family val="2"/>
        <scheme val="minor"/>
      </rPr>
      <t>- 364 kg</t>
    </r>
  </si>
  <si>
    <r>
      <rPr>
        <sz val="11"/>
        <color rgb="FF0070C0"/>
        <rFont val="Calibri"/>
        <family val="2"/>
        <scheme val="minor"/>
      </rPr>
      <t>152</t>
    </r>
    <r>
      <rPr>
        <sz val="11"/>
        <color theme="1"/>
        <rFont val="Calibri"/>
        <family val="2"/>
        <scheme val="minor"/>
      </rPr>
      <t>- 482 kg</t>
    </r>
  </si>
  <si>
    <r>
      <rPr>
        <sz val="11"/>
        <color rgb="FF0070C0"/>
        <rFont val="Calibri"/>
        <family val="2"/>
        <scheme val="minor"/>
      </rPr>
      <t>230</t>
    </r>
    <r>
      <rPr>
        <sz val="11"/>
        <color theme="1"/>
        <rFont val="Calibri"/>
        <family val="2"/>
        <scheme val="minor"/>
      </rPr>
      <t>- 462 kg</t>
    </r>
  </si>
  <si>
    <r>
      <rPr>
        <sz val="11"/>
        <color rgb="FF0070C0"/>
        <rFont val="Calibri"/>
        <family val="2"/>
        <scheme val="minor"/>
      </rPr>
      <t>230</t>
    </r>
    <r>
      <rPr>
        <sz val="11"/>
        <color theme="1"/>
        <rFont val="Calibri"/>
        <family val="2"/>
        <scheme val="minor"/>
      </rPr>
      <t>- 600 kg</t>
    </r>
  </si>
  <si>
    <r>
      <rPr>
        <sz val="11"/>
        <color rgb="FF0070C0"/>
        <rFont val="Calibri"/>
        <family val="2"/>
        <scheme val="minor"/>
      </rPr>
      <t>152</t>
    </r>
    <r>
      <rPr>
        <sz val="11"/>
        <color theme="1"/>
        <rFont val="Calibri"/>
        <family val="2"/>
        <scheme val="minor"/>
      </rPr>
      <t>- 434 kg</t>
    </r>
  </si>
  <si>
    <r>
      <rPr>
        <sz val="11"/>
        <color rgb="FF0070C0"/>
        <rFont val="Calibri"/>
        <family val="2"/>
        <scheme val="minor"/>
      </rPr>
      <t>152</t>
    </r>
    <r>
      <rPr>
        <sz val="11"/>
        <color theme="1"/>
        <rFont val="Calibri"/>
        <family val="2"/>
        <scheme val="minor"/>
      </rPr>
      <t>- 530.8 kg</t>
    </r>
  </si>
  <si>
    <t>Kalve 0-1 mdr.</t>
  </si>
  <si>
    <t>tk01</t>
  </si>
  <si>
    <t>0-1 months</t>
  </si>
  <si>
    <t>Tyrekalv 0-1 mdr.</t>
  </si>
  <si>
    <t>tt01</t>
  </si>
  <si>
    <t>jk01</t>
  </si>
  <si>
    <t>jt01</t>
  </si>
  <si>
    <t>tt01ø</t>
  </si>
  <si>
    <t>jt01ø</t>
  </si>
  <si>
    <t>Malkekøer, tung race Kalve 0-1 mdr. -tk01</t>
  </si>
  <si>
    <t>Malkekøer, jersey Kalve 0-1 mdr. -jk01</t>
  </si>
  <si>
    <t>Malkekøer, jersey Tyrekalve 0-1 mdr. -jt01</t>
  </si>
  <si>
    <t>tk01_Dybstrøelse (hele arealet) - Dybstrøelse</t>
  </si>
  <si>
    <t>tt01_Dybstrøelse (hele arealet) - Dybstrøelse</t>
  </si>
  <si>
    <t>jk_Sengestald med spaltegulv (kanal, bagskyl eller ringkanal) - gylle</t>
  </si>
  <si>
    <t>tk_Sengestald med spaltegulv (kanal, bagskyl eller ringkanal) - gylle</t>
  </si>
  <si>
    <t>jk_Dybstrøelse, lang ædeplads med spalter (kanal, bagskyl eller ringkanal) - gylle</t>
  </si>
  <si>
    <t>jk_Dybstrøelse, lang ædeplads med spalter (kanal, bagskyl eller ringkanal) - dybstrøelse</t>
  </si>
  <si>
    <t>jk01_Dybstrøelse (hele arealet) - Dybstrøelse</t>
  </si>
  <si>
    <t>jk06_Dybstrøelse (hele arealet) - Dybstrøelse</t>
  </si>
  <si>
    <t>jku18_Sengestald med spaltegulv (kanal, bagskyl eller ringkanal) - gylle</t>
  </si>
  <si>
    <t>jku18_Dybstrøelse, lang ædeplads med spalter (kanal, bagskyl eller ringkanal) - gylle</t>
  </si>
  <si>
    <t>jku18_Dybstrøelse, lang ædeplads med spalter (kanal, bagskyl eller ringkanal) - dybstrøelse</t>
  </si>
  <si>
    <t>jko18_Sengestald med spaltegulv (kanal, bagskyl eller ringkanal) - gylle</t>
  </si>
  <si>
    <t>jko18_Dybstrøelse, lang ædeplads med spalter (kanal, bagskyl eller ringkanal) - gylle</t>
  </si>
  <si>
    <t>jko18_Dybstrøelse, lang ædeplads med spalter (kanal, bagskyl eller ringkanal) - dybstrøelse</t>
  </si>
  <si>
    <t>jts_Sengestald med spaltegulv (kanal, bagskyl eller ringkanal) - gylle</t>
  </si>
  <si>
    <t>jts_Dybstrøelse, lang ædeplads med spalter (kanal, bagskyl eller ringkanal) - gylle</t>
  </si>
  <si>
    <t>jts_Dybstrøelse, lang ædeplads med spalter (kanal, bagskyl eller ringkanal) - dybstrøelse</t>
  </si>
  <si>
    <t>jt01_Dybstrøelse (hele arealet) - Dybstrøelse</t>
  </si>
  <si>
    <t>Malkekøer, tung race Tyrekalve 0-1 mdr. -tt01</t>
  </si>
  <si>
    <t>Malkekøer, tung race Tyrekalve 0-6 mdr. -tt06</t>
  </si>
  <si>
    <t>jt06_Dybstrøelse (hele arealet) - Dybstrøelse</t>
  </si>
  <si>
    <t>jtu12_Sengestald med spaltegulv (kanal, bagskyl eller ringkanal) - gylle</t>
  </si>
  <si>
    <t>jtu12_Dybstrøelse, lang ædeplads med spalter (kanal, bagskyl eller ringkanal) - gylle</t>
  </si>
  <si>
    <t>jtu12_Dybstrøelse, lang ædeplads med spalter (kanal, bagskyl eller ringkanal) - dybstrøelse</t>
  </si>
  <si>
    <t>jto12_Sengestald med spaltegulv (kanal, bagskyl eller ringkanal) - gylle</t>
  </si>
  <si>
    <t>jto12_Dybstrøelse, lang ædeplads med spalter (kanal, bagskyl eller ringkanal) - gylle</t>
  </si>
  <si>
    <t>jto12_Dybstrøelse, lang ædeplads med spalter (kanal, bagskyl eller ringkanal) - dybstrøelse</t>
  </si>
  <si>
    <t>Malkekøer, jersey Køer</t>
  </si>
  <si>
    <t>Malkekøer, jersey Kvier u. 18. mdr.</t>
  </si>
  <si>
    <t>Malkekøer, jersey Kvier o. 18. mdr.</t>
  </si>
  <si>
    <t>Malkekøer, jersey Kalve 0-1 mdr.</t>
  </si>
  <si>
    <t>Malkekøer, jersey Kalve 0-6 mdr.</t>
  </si>
  <si>
    <t>Malkekøer, jersey Tyre u. 12 mdr.</t>
  </si>
  <si>
    <t>Malkekøer, jersey Tyre o. 12 mdr.</t>
  </si>
  <si>
    <t>Malkekøer, jersey Stude</t>
  </si>
  <si>
    <t>Malkekøer, jersey Tyrekalv 0-1 mdr.</t>
  </si>
  <si>
    <t>Malkekøer, jersey Tyrekalv 0-6 mdr.</t>
  </si>
  <si>
    <t>jk_Sengestald med spalter (kanal, bagskyl eller ringkanal) - gylle</t>
  </si>
  <si>
    <t>jk06_Dybstrøelse (hele arealet) - Gylle</t>
  </si>
  <si>
    <t>jk01_Dybstrøelse (hele arealet) - Gylle</t>
  </si>
  <si>
    <t>feed rations are calculated based on 0 to 3 and 3 to slaughtered</t>
  </si>
  <si>
    <t>Malkekøer, tung race Kalve 0-3 mdr.</t>
  </si>
  <si>
    <t>Tyrekalve 0-3 mdr.</t>
  </si>
  <si>
    <t>Malkekøer, jersey Tyrekalve 0-1 mdr.</t>
  </si>
  <si>
    <t>Malkekøer, jersey Tyrekalve 0-6 mdr.</t>
  </si>
  <si>
    <t>Malkekøer, tung race Tyrekalve 0-3 mdr.</t>
  </si>
  <si>
    <t>Malkekøer, jersey Kalve 0-3 mdr.</t>
  </si>
  <si>
    <t>Malkekøer, jersey Tyrekalve 0-3 mdr.</t>
  </si>
  <si>
    <t>Malkekøer, jersey Køer (1year)</t>
  </si>
  <si>
    <t>n. animals (2021)</t>
  </si>
  <si>
    <t>Malkekøer, tung race Kalve 0-1 mdr</t>
  </si>
  <si>
    <t>Malkekøer, tung race Kalve 0-1 mdr.</t>
  </si>
  <si>
    <t>Malkekøer, tung race Kalve 0-6 mdr.</t>
  </si>
  <si>
    <t>Malkekøer, tung race Kvier u. 18. mdr.</t>
  </si>
  <si>
    <t>Malkekøer, tung race Kvier o. 18. mdr.</t>
  </si>
  <si>
    <t>Malkekøer, tung race Stude</t>
  </si>
  <si>
    <t>Malkekøer, tung race Køer (1year)</t>
  </si>
  <si>
    <t>Malkekøer, tung race Tyrekalv 0-1 mdr.</t>
  </si>
  <si>
    <t>Malkekøer, tung race Tyrekalve 0-6 mdr.</t>
  </si>
  <si>
    <t>Malkekøer, tung race Tyre u. 12 mdr.</t>
  </si>
  <si>
    <t>Malkekøer, tung race Tyre o. 12 mdr.</t>
  </si>
  <si>
    <t>Korn (vårby ww</t>
  </si>
  <si>
    <t>Rapssk ww</t>
  </si>
  <si>
    <t>Raps-kag ww</t>
  </si>
  <si>
    <t>Majs-ensilage, middel  ww</t>
  </si>
  <si>
    <t>Kløvergræsensilage, høj FK, 20 ww</t>
  </si>
  <si>
    <t>Kløvergræsensilage, middel FK, 20 ww</t>
  </si>
  <si>
    <t>Kløvergræsensilage, lav FK, 20 ww</t>
  </si>
  <si>
    <t>Kløverhø, lav  ww</t>
  </si>
  <si>
    <t>Kløvergræs, 6-8 cm, 20 ww</t>
  </si>
  <si>
    <t>Varigt enggr ww</t>
  </si>
  <si>
    <t>Sødmælk til kal ww</t>
  </si>
  <si>
    <t>Mælkeerstatni ww</t>
  </si>
  <si>
    <t>Foder-halm (vårby ww</t>
  </si>
  <si>
    <t>Kkg ww</t>
  </si>
  <si>
    <t>Type 1 granulekg ww</t>
  </si>
  <si>
    <t>slaugther weight (kg)</t>
  </si>
  <si>
    <t>times + heifer o.18</t>
  </si>
  <si>
    <t>Malkekøer, tung race Tyrekalve 0-1 mdr.</t>
  </si>
  <si>
    <t>𝐸𝐹 = 𝐹 * (𝐺𝐸𝐹 𝑤𝑖𝑛𝑡𝑒𝑟 * (1 − 𝑔𝑟𝑎𝑧𝑖𝑛𝑔 𝑑𝑎𝑦𝑠⁄365) + 𝐺𝐸𝐹 summer * 𝑔𝑟𝑎𝑧𝑖𝑛𝑔 ∙𝑔𝑟𝑎𝑧𝑖𝑛𝑔 𝑑𝑎𝑦𝑠 /365)  ⁄ 55.65 * 0.06</t>
  </si>
  <si>
    <t xml:space="preserve"> feed intake in 
kg dm /day</t>
  </si>
  <si>
    <t>Table 5.7 2022_Denmark's National Inventory Report</t>
  </si>
  <si>
    <t>non-grazing</t>
  </si>
  <si>
    <t>40-64 kg</t>
  </si>
  <si>
    <t>25-43 kg</t>
  </si>
  <si>
    <r>
      <rPr>
        <sz val="11"/>
        <color rgb="FF0070C0"/>
        <rFont val="Calibri"/>
        <family val="2"/>
        <scheme val="minor"/>
      </rPr>
      <t>25</t>
    </r>
    <r>
      <rPr>
        <sz val="11"/>
        <color theme="1"/>
        <rFont val="Calibri"/>
        <family val="2"/>
        <scheme val="minor"/>
      </rPr>
      <t>-</t>
    </r>
    <r>
      <rPr>
        <sz val="11"/>
        <rFont val="Calibri"/>
        <family val="2"/>
        <scheme val="minor"/>
      </rPr>
      <t xml:space="preserve"> 55</t>
    </r>
    <r>
      <rPr>
        <sz val="11"/>
        <color theme="1"/>
        <rFont val="Calibri"/>
        <family val="2"/>
        <scheme val="minor"/>
      </rPr>
      <t xml:space="preserve"> kg</t>
    </r>
  </si>
  <si>
    <r>
      <rPr>
        <sz val="11"/>
        <color rgb="FF0070C0"/>
        <rFont val="Calibri"/>
        <family val="2"/>
        <scheme val="minor"/>
      </rPr>
      <t>40</t>
    </r>
    <r>
      <rPr>
        <sz val="11"/>
        <color theme="1"/>
        <rFont val="Calibri"/>
        <family val="2"/>
        <scheme val="minor"/>
      </rPr>
      <t>-</t>
    </r>
    <r>
      <rPr>
        <sz val="11"/>
        <rFont val="Calibri"/>
        <family val="2"/>
        <scheme val="minor"/>
      </rPr>
      <t>70</t>
    </r>
    <r>
      <rPr>
        <sz val="11"/>
        <color theme="1"/>
        <rFont val="Calibri"/>
        <family val="2"/>
        <scheme val="minor"/>
      </rPr>
      <t xml:space="preserve"> kg</t>
    </r>
  </si>
  <si>
    <t>antal dage</t>
  </si>
  <si>
    <t>Carbon footprint model for Danish beef production</t>
  </si>
  <si>
    <t>Project: Vejene til en mere klimavenlig dansk kalve- og oksekødsproduktion udgår fra malkekvægholdet</t>
  </si>
  <si>
    <t>Martin Øvli Kristensen &lt;makr@seges.dk&gt;</t>
  </si>
  <si>
    <t>Alberto Maresca &lt;aoma@seges.dk&gt;</t>
  </si>
  <si>
    <t>Feed rations from DMS_NorFor (daily weighted averages, calculated based on the defined feed rations during grazing and non-grazing)</t>
  </si>
  <si>
    <t xml:space="preserve">NORMTAL 2022/23 </t>
  </si>
  <si>
    <t>NORMTAL 2022/23, after correcting weight/ age of the individual animal groups</t>
  </si>
  <si>
    <t xml:space="preserve">enteric fermentation - NorFor </t>
  </si>
  <si>
    <t>enteric fermentation - Denmark's NIR 2022</t>
  </si>
  <si>
    <t>lifetime of a milking cow</t>
  </si>
  <si>
    <t>Table 5.8 2022_Denmark's National Inventory Report</t>
  </si>
  <si>
    <t>Ym</t>
  </si>
  <si>
    <t>Ym, excl. beet</t>
  </si>
  <si>
    <t>Ym, non-dairy cattle, Bulls and bull calves</t>
  </si>
  <si>
    <t>Ym, non-dairy cattle, Heifers, heifer calves and suckling cattle</t>
  </si>
  <si>
    <t>Ym grazing, dairy cattle</t>
  </si>
  <si>
    <t>Ym grazing, non-dairy cattle</t>
  </si>
  <si>
    <t>Ym, dairy cattle, tung race</t>
  </si>
  <si>
    <t>Ym, dairy cattle, jersey</t>
  </si>
  <si>
    <t>excl. beet:  𝐸𝐹 = 𝐹 ∙ ( (𝐺𝐸𝐹 𝑤𝑖𝑛𝑡𝑒𝑟⁄55.65) ∙ 𝑌𝑚  ∙ (1 − 𝑔𝑟𝑎𝑧𝑖𝑛𝑔 𝑑𝑎𝑦𝑠⁄365)) +  𝐹 ∙ (GEF summer⁄55.65) ∙ 𝑌𝑚 𝑔𝑟𝑎𝑧𝑖𝑛𝑔 ∙𝑔𝑟𝑎𝑧𝑖𝑛𝑔 𝑑𝑎𝑦𝑠 /365</t>
  </si>
  <si>
    <t>if beets are excluded from the diets, then the equation for dairy cattle is the same as suckler cattle</t>
  </si>
  <si>
    <t>Barley grain, dried, at farm</t>
  </si>
  <si>
    <t>Rapeseed meal (solvent), at processing</t>
  </si>
  <si>
    <t>Rapeseed expeller (pressing), at processing</t>
  </si>
  <si>
    <t>Maize silage, at farm</t>
  </si>
  <si>
    <t>Grass silage (dairy), at farm</t>
  </si>
  <si>
    <t>Grass, at dairy farm</t>
  </si>
  <si>
    <t>Milk raw, at farm</t>
  </si>
  <si>
    <t>Barley straw, at farm</t>
  </si>
  <si>
    <t>Limestone</t>
  </si>
  <si>
    <t>Milk powder</t>
  </si>
  <si>
    <t>Kløverhø, lav FK, at farm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</si>
</sst>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
  </numFmts>
  <fonts count="48" x14ac:knownFonts="1">
    <font>
      <sz val="11"/>
      <color theme="1"/>
      <name val="Calibri"/>
      <family val="2"/>
      <scheme val="minor"/>
    </font>
    <font>
      <b/>
      <sz val="9"/>
      <color theme="1"/>
      <name val="Arial"/>
      <family val="2"/>
    </font>
    <font>
      <sz val="9"/>
      <name val="Arial"/>
      <family val="2"/>
    </font>
    <font>
      <b/>
      <sz val="11"/>
      <color theme="1"/>
      <name val="Calibri"/>
      <family val="2"/>
      <scheme val="minor"/>
    </font>
    <font>
      <b/>
      <sz val="12"/>
      <color theme="1"/>
      <name val="Calibri"/>
      <family val="2"/>
      <scheme val="minor"/>
    </font>
    <font>
      <sz val="9"/>
      <color indexed="81"/>
      <name val="Tahoma"/>
      <family val="2"/>
    </font>
    <font>
      <b/>
      <sz val="9"/>
      <color indexed="81"/>
      <name val="Tahoma"/>
      <family val="2"/>
    </font>
    <font>
      <sz val="11"/>
      <color rgb="FFFF0000"/>
      <name val="Calibri"/>
      <family val="2"/>
      <scheme val="minor"/>
    </font>
    <font>
      <sz val="11"/>
      <name val="Calibri"/>
      <family val="2"/>
      <scheme val="minor"/>
    </font>
    <font>
      <b/>
      <sz val="12"/>
      <name val="Calibri"/>
      <family val="2"/>
      <scheme val="minor"/>
    </font>
    <font>
      <b/>
      <sz val="11"/>
      <name val="Calibri"/>
      <family val="2"/>
      <scheme val="minor"/>
    </font>
    <font>
      <sz val="11"/>
      <color theme="0"/>
      <name val="Calibri"/>
      <family val="2"/>
      <scheme val="minor"/>
    </font>
    <font>
      <sz val="11"/>
      <color rgb="FF00B050"/>
      <name val="Calibri"/>
      <family val="2"/>
      <scheme val="minor"/>
    </font>
    <font>
      <sz val="11"/>
      <color rgb="FF00B0F0"/>
      <name val="Calibri"/>
      <family val="2"/>
      <scheme val="minor"/>
    </font>
    <font>
      <strike/>
      <sz val="11"/>
      <color theme="1"/>
      <name val="Calibri"/>
      <family val="2"/>
      <scheme val="minor"/>
    </font>
    <font>
      <strike/>
      <sz val="11"/>
      <color rgb="FFFF0000"/>
      <name val="Calibri"/>
      <family val="2"/>
      <scheme val="minor"/>
    </font>
    <font>
      <i/>
      <sz val="11"/>
      <color rgb="FF7030A0"/>
      <name val="Calibri"/>
      <family val="2"/>
      <scheme val="minor"/>
    </font>
    <font>
      <sz val="8"/>
      <name val="Calibri"/>
      <family val="2"/>
      <scheme val="minor"/>
    </font>
    <font>
      <sz val="12"/>
      <color rgb="FFFF0000"/>
      <name val="Calibri"/>
      <family val="2"/>
      <scheme val="minor"/>
    </font>
    <font>
      <sz val="11"/>
      <color theme="9"/>
      <name val="Calibri"/>
      <family val="2"/>
      <scheme val="minor"/>
    </font>
    <font>
      <b/>
      <u/>
      <sz val="11"/>
      <name val="Calibri"/>
      <family val="2"/>
      <scheme val="minor"/>
    </font>
    <font>
      <sz val="11"/>
      <color theme="8"/>
      <name val="Calibri"/>
      <family val="2"/>
      <scheme val="minor"/>
    </font>
    <font>
      <b/>
      <sz val="11"/>
      <color theme="8"/>
      <name val="Calibri"/>
      <family val="2"/>
      <scheme val="minor"/>
    </font>
    <font>
      <sz val="11"/>
      <color theme="0" tint="-0.249977111117893"/>
      <name val="Calibri"/>
      <family val="2"/>
      <scheme val="minor"/>
    </font>
    <font>
      <b/>
      <sz val="11"/>
      <color rgb="FFFF0000"/>
      <name val="Calibri"/>
      <family val="2"/>
      <scheme val="minor"/>
    </font>
    <font>
      <sz val="11"/>
      <color rgb="FFFA7D00"/>
      <name val="Calibri"/>
      <family val="2"/>
    </font>
    <font>
      <sz val="11"/>
      <color theme="1"/>
      <name val="Calibri"/>
      <family val="2"/>
      <scheme val="minor"/>
    </font>
    <font>
      <sz val="20"/>
      <color theme="1"/>
      <name val="Calibri"/>
      <family val="2"/>
      <scheme val="minor"/>
    </font>
    <font>
      <i/>
      <sz val="11"/>
      <color rgb="FF00B050"/>
      <name val="Calibri"/>
      <family val="2"/>
      <scheme val="minor"/>
    </font>
    <font>
      <sz val="11"/>
      <color rgb="FFC00000"/>
      <name val="Calibri"/>
      <family val="2"/>
      <scheme val="minor"/>
    </font>
    <font>
      <b/>
      <sz val="11"/>
      <color rgb="FF00B050"/>
      <name val="Calibri"/>
      <family val="2"/>
      <scheme val="minor"/>
    </font>
    <font>
      <sz val="11"/>
      <color rgb="FF7030A0"/>
      <name val="Calibri"/>
      <family val="2"/>
      <scheme val="minor"/>
    </font>
    <font>
      <b/>
      <sz val="11"/>
      <color rgb="FF00B0F0"/>
      <name val="Calibri"/>
      <family val="2"/>
      <scheme val="minor"/>
    </font>
    <font>
      <b/>
      <sz val="11"/>
      <color theme="9"/>
      <name val="Calibri"/>
      <family val="2"/>
      <scheme val="minor"/>
    </font>
    <font>
      <sz val="11"/>
      <color theme="0" tint="-0.499984740745262"/>
      <name val="Calibri"/>
      <family val="2"/>
      <scheme val="minor"/>
    </font>
    <font>
      <b/>
      <sz val="11"/>
      <color rgb="FF7030A0"/>
      <name val="Calibri"/>
      <family val="2"/>
      <scheme val="minor"/>
    </font>
    <font>
      <sz val="18"/>
      <color rgb="FFFF0000"/>
      <name val="Calibri"/>
      <family val="2"/>
      <scheme val="minor"/>
    </font>
    <font>
      <sz val="11"/>
      <color rgb="FF002060"/>
      <name val="Calibri"/>
      <family val="2"/>
      <scheme val="minor"/>
    </font>
    <font>
      <b/>
      <sz val="11"/>
      <color rgb="FF002060"/>
      <name val="Calibri"/>
      <family val="2"/>
      <scheme val="minor"/>
    </font>
    <font>
      <sz val="11"/>
      <color rgb="FF0070C0"/>
      <name val="Calibri"/>
      <family val="2"/>
      <scheme val="minor"/>
    </font>
    <font>
      <b/>
      <sz val="16"/>
      <name val="Calibri"/>
      <family val="2"/>
      <scheme val="minor"/>
    </font>
    <font>
      <vertAlign val="superscript"/>
      <sz val="11"/>
      <color theme="1"/>
      <name val="Calibri"/>
      <family val="2"/>
      <scheme val="minor"/>
    </font>
    <font>
      <sz val="11"/>
      <color theme="0" tint="-0.14999847407452621"/>
      <name val="Calibri"/>
      <family val="2"/>
      <scheme val="minor"/>
    </font>
    <font>
      <sz val="18"/>
      <color theme="9"/>
      <name val="Calibri"/>
      <family val="2"/>
      <scheme val="minor"/>
    </font>
    <font>
      <sz val="18"/>
      <name val="Calibri"/>
      <family val="2"/>
      <scheme val="minor"/>
    </font>
    <font>
      <sz val="18"/>
      <color theme="1"/>
      <name val="Calibri"/>
      <family val="2"/>
      <scheme val="minor"/>
    </font>
    <font>
      <i/>
      <sz val="11"/>
      <name val="Calibri"/>
      <family val="2"/>
      <scheme val="minor"/>
    </font>
    <font>
      <sz val="11"/>
      <color theme="9"/>
      <name val="Calibri"/>
      <family val="2"/>
    </font>
  </fonts>
  <fills count="21">
    <fill>
      <patternFill patternType="none"/>
    </fill>
    <fill>
      <patternFill patternType="gray125"/>
    </fill>
    <fill>
      <patternFill patternType="solid">
        <fgColor rgb="FF88CC00"/>
        <bgColor indexed="64"/>
      </patternFill>
    </fill>
    <fill>
      <patternFill patternType="solid">
        <fgColor rgb="FFFFFF00"/>
        <bgColor indexed="64"/>
      </patternFill>
    </fill>
    <fill>
      <patternFill patternType="solid">
        <fgColor theme="6"/>
        <bgColor indexed="64"/>
      </patternFill>
    </fill>
    <fill>
      <patternFill patternType="solid">
        <fgColor rgb="FF92D050"/>
        <bgColor indexed="64"/>
      </patternFill>
    </fill>
    <fill>
      <patternFill patternType="solid">
        <fgColor theme="4" tint="0.39997558519241921"/>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3" tint="0.499984740745262"/>
        <bgColor indexed="64"/>
      </patternFill>
    </fill>
    <fill>
      <patternFill patternType="solid">
        <fgColor theme="6" tint="0.59999389629810485"/>
        <bgColor indexed="64"/>
      </patternFill>
    </fill>
    <fill>
      <patternFill patternType="solid">
        <fgColor theme="3" tint="0.749992370372631"/>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59999389629810485"/>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top/>
      <bottom style="double">
        <color rgb="FFFF8001"/>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25" fillId="0" borderId="21" applyNumberFormat="0" applyFill="0" applyAlignment="0" applyProtection="0"/>
    <xf numFmtId="9" fontId="26" fillId="0" borderId="0" applyFont="0" applyFill="0" applyBorder="0" applyAlignment="0" applyProtection="0"/>
    <xf numFmtId="0" fontId="26" fillId="0" borderId="0"/>
  </cellStyleXfs>
  <cellXfs count="721">
    <xf numFmtId="0" fontId="0" fillId="0" borderId="0" xfId="0"/>
    <xf numFmtId="0" fontId="1" fillId="0" borderId="1" xfId="0" applyFont="1" applyBorder="1"/>
    <xf numFmtId="0" fontId="0" fillId="0" borderId="2" xfId="0" applyBorder="1"/>
    <xf numFmtId="0" fontId="0" fillId="0" borderId="2" xfId="0" applyFill="1" applyBorder="1"/>
    <xf numFmtId="0" fontId="0" fillId="0" borderId="3" xfId="0" applyBorder="1"/>
    <xf numFmtId="0" fontId="0" fillId="0" borderId="0" xfId="0" applyBorder="1"/>
    <xf numFmtId="0" fontId="0" fillId="0" borderId="4" xfId="0" applyBorder="1"/>
    <xf numFmtId="0" fontId="0" fillId="0" borderId="0" xfId="0" applyFill="1" applyBorder="1"/>
    <xf numFmtId="0" fontId="0" fillId="0" borderId="5" xfId="0" applyFill="1" applyBorder="1"/>
    <xf numFmtId="0" fontId="0" fillId="0" borderId="6" xfId="0" applyBorder="1"/>
    <xf numFmtId="0" fontId="0" fillId="0" borderId="7" xfId="0" applyBorder="1"/>
    <xf numFmtId="0" fontId="2" fillId="0" borderId="0" xfId="0" applyFont="1" applyBorder="1"/>
    <xf numFmtId="0" fontId="3" fillId="0" borderId="0" xfId="0" applyFont="1"/>
    <xf numFmtId="0" fontId="3" fillId="0" borderId="8" xfId="0" applyFont="1" applyBorder="1"/>
    <xf numFmtId="0" fontId="0" fillId="0" borderId="9" xfId="0" applyBorder="1"/>
    <xf numFmtId="0" fontId="0" fillId="0" borderId="10" xfId="0" applyBorder="1"/>
    <xf numFmtId="2" fontId="0" fillId="0" borderId="0" xfId="0" applyNumberFormat="1" applyBorder="1"/>
    <xf numFmtId="0" fontId="0" fillId="0" borderId="0" xfId="0" applyBorder="1" applyAlignment="1">
      <alignment wrapText="1"/>
    </xf>
    <xf numFmtId="0" fontId="0" fillId="0" borderId="12" xfId="0" applyBorder="1"/>
    <xf numFmtId="164" fontId="0" fillId="0" borderId="0" xfId="0" applyNumberFormat="1" applyBorder="1"/>
    <xf numFmtId="0" fontId="0" fillId="0" borderId="12" xfId="0" applyBorder="1" applyAlignment="1">
      <alignment horizontal="left"/>
    </xf>
    <xf numFmtId="0" fontId="0" fillId="0" borderId="11" xfId="0" applyBorder="1"/>
    <xf numFmtId="0" fontId="0" fillId="0" borderId="14" xfId="0" applyBorder="1"/>
    <xf numFmtId="0" fontId="0" fillId="0" borderId="15" xfId="0" applyBorder="1"/>
    <xf numFmtId="0" fontId="0" fillId="0" borderId="14" xfId="0" applyFont="1" applyBorder="1"/>
    <xf numFmtId="0" fontId="0" fillId="0" borderId="8" xfId="0" applyBorder="1"/>
    <xf numFmtId="0" fontId="3" fillId="0" borderId="9" xfId="0" applyFont="1" applyBorder="1"/>
    <xf numFmtId="0" fontId="0" fillId="0" borderId="9" xfId="0" applyBorder="1" applyAlignment="1">
      <alignment horizontal="left"/>
    </xf>
    <xf numFmtId="0" fontId="0" fillId="0" borderId="10" xfId="0" applyBorder="1" applyAlignment="1">
      <alignment horizontal="left"/>
    </xf>
    <xf numFmtId="0" fontId="0" fillId="0" borderId="13" xfId="0" applyBorder="1"/>
    <xf numFmtId="0" fontId="0" fillId="0" borderId="14" xfId="0" applyBorder="1" applyAlignment="1">
      <alignment horizontal="left"/>
    </xf>
    <xf numFmtId="0" fontId="0" fillId="0" borderId="15" xfId="0" applyBorder="1" applyAlignment="1">
      <alignment horizontal="left"/>
    </xf>
    <xf numFmtId="0" fontId="3" fillId="0" borderId="16" xfId="0" applyFont="1" applyBorder="1"/>
    <xf numFmtId="0" fontId="0" fillId="2" borderId="17" xfId="0" applyFill="1" applyBorder="1" applyAlignment="1">
      <alignment horizontal="left"/>
    </xf>
    <xf numFmtId="0" fontId="0" fillId="2" borderId="18" xfId="0" applyFill="1" applyBorder="1" applyAlignment="1">
      <alignment horizontal="left"/>
    </xf>
    <xf numFmtId="2" fontId="0" fillId="0" borderId="0" xfId="0" applyNumberFormat="1"/>
    <xf numFmtId="0" fontId="3" fillId="0" borderId="10" xfId="0" applyFont="1" applyBorder="1"/>
    <xf numFmtId="0" fontId="0" fillId="2" borderId="18" xfId="0" applyFill="1" applyBorder="1"/>
    <xf numFmtId="0" fontId="0" fillId="0" borderId="11" xfId="0" applyFill="1" applyBorder="1"/>
    <xf numFmtId="164" fontId="0" fillId="0" borderId="0" xfId="0" applyNumberFormat="1"/>
    <xf numFmtId="0" fontId="0" fillId="2" borderId="16" xfId="0" applyFill="1" applyBorder="1"/>
    <xf numFmtId="165" fontId="0" fillId="0" borderId="17" xfId="0" applyNumberFormat="1" applyBorder="1"/>
    <xf numFmtId="0" fontId="0" fillId="0" borderId="20" xfId="0" applyBorder="1"/>
    <xf numFmtId="0" fontId="3" fillId="0" borderId="11" xfId="0" applyFont="1" applyBorder="1"/>
    <xf numFmtId="0" fontId="0" fillId="0" borderId="0" xfId="0" applyFont="1" applyBorder="1"/>
    <xf numFmtId="9" fontId="0" fillId="0" borderId="0" xfId="0" applyNumberFormat="1"/>
    <xf numFmtId="0" fontId="0" fillId="0" borderId="3" xfId="0" applyFill="1" applyBorder="1"/>
    <xf numFmtId="9" fontId="0" fillId="0" borderId="6" xfId="0" applyNumberFormat="1" applyBorder="1"/>
    <xf numFmtId="0" fontId="7" fillId="0" borderId="0" xfId="0" applyFont="1" applyBorder="1"/>
    <xf numFmtId="0" fontId="0" fillId="0" borderId="16" xfId="0" applyBorder="1"/>
    <xf numFmtId="0" fontId="0" fillId="0" borderId="18" xfId="0" applyBorder="1"/>
    <xf numFmtId="0" fontId="3" fillId="0" borderId="0" xfId="0" applyFont="1" applyBorder="1"/>
    <xf numFmtId="0" fontId="8" fillId="0" borderId="13" xfId="0" applyFont="1" applyFill="1" applyBorder="1"/>
    <xf numFmtId="0" fontId="0" fillId="0" borderId="12" xfId="0" applyFill="1" applyBorder="1"/>
    <xf numFmtId="0" fontId="8" fillId="0" borderId="8" xfId="0" applyFont="1" applyFill="1" applyBorder="1"/>
    <xf numFmtId="0" fontId="8" fillId="0" borderId="9" xfId="0" applyFont="1" applyFill="1" applyBorder="1"/>
    <xf numFmtId="0" fontId="0" fillId="0" borderId="0" xfId="0" applyFont="1"/>
    <xf numFmtId="0" fontId="0" fillId="3" borderId="0" xfId="0" applyFill="1"/>
    <xf numFmtId="0" fontId="0" fillId="0" borderId="10" xfId="0" applyFill="1" applyBorder="1"/>
    <xf numFmtId="0" fontId="3" fillId="0" borderId="3" xfId="0" applyFont="1" applyBorder="1"/>
    <xf numFmtId="0" fontId="0" fillId="0" borderId="6" xfId="0" applyFill="1" applyBorder="1"/>
    <xf numFmtId="0" fontId="11" fillId="0" borderId="0" xfId="0" applyFont="1" applyBorder="1"/>
    <xf numFmtId="0" fontId="11" fillId="0" borderId="0" xfId="0" applyFont="1" applyBorder="1" applyAlignment="1">
      <alignment wrapText="1"/>
    </xf>
    <xf numFmtId="0" fontId="8" fillId="0" borderId="3" xfId="0" applyFont="1" applyBorder="1"/>
    <xf numFmtId="0" fontId="11" fillId="0" borderId="0" xfId="0" applyFont="1" applyFill="1" applyBorder="1"/>
    <xf numFmtId="0" fontId="0" fillId="0" borderId="12" xfId="0" applyFont="1" applyBorder="1"/>
    <xf numFmtId="0" fontId="0" fillId="0" borderId="11" xfId="0" applyFont="1" applyBorder="1"/>
    <xf numFmtId="0" fontId="0" fillId="0" borderId="0" xfId="0" applyAlignment="1">
      <alignment horizontal="right"/>
    </xf>
    <xf numFmtId="0" fontId="12" fillId="0" borderId="0" xfId="0" applyFont="1" applyBorder="1"/>
    <xf numFmtId="0" fontId="12" fillId="0" borderId="0" xfId="0" applyFont="1" applyFill="1" applyBorder="1"/>
    <xf numFmtId="0" fontId="12" fillId="0" borderId="15" xfId="0" applyFont="1" applyBorder="1"/>
    <xf numFmtId="0" fontId="12" fillId="0" borderId="12" xfId="0" applyFont="1" applyBorder="1"/>
    <xf numFmtId="0" fontId="0" fillId="0" borderId="0" xfId="0" applyBorder="1" applyAlignment="1">
      <alignment horizontal="center"/>
    </xf>
    <xf numFmtId="0" fontId="7" fillId="0" borderId="0" xfId="0" applyFont="1" applyFill="1" applyBorder="1"/>
    <xf numFmtId="0" fontId="13" fillId="0" borderId="0" xfId="0" applyFont="1" applyBorder="1" applyAlignment="1">
      <alignment horizontal="center"/>
    </xf>
    <xf numFmtId="0" fontId="12" fillId="7" borderId="0" xfId="0" applyFont="1" applyFill="1" applyBorder="1" applyAlignment="1">
      <alignment horizontal="center"/>
    </xf>
    <xf numFmtId="0" fontId="12" fillId="7" borderId="0" xfId="0" applyFont="1" applyFill="1" applyBorder="1"/>
    <xf numFmtId="0" fontId="13" fillId="0" borderId="0" xfId="0" applyFont="1" applyFill="1" applyBorder="1"/>
    <xf numFmtId="0" fontId="12" fillId="0" borderId="12" xfId="0" applyFont="1" applyFill="1" applyBorder="1"/>
    <xf numFmtId="0" fontId="12" fillId="0" borderId="15" xfId="0" applyFont="1" applyFill="1" applyBorder="1"/>
    <xf numFmtId="0" fontId="15" fillId="0" borderId="0" xfId="0" applyFont="1" applyFill="1" applyBorder="1"/>
    <xf numFmtId="0" fontId="14" fillId="0" borderId="0" xfId="0" applyFont="1" applyFill="1" applyBorder="1"/>
    <xf numFmtId="0" fontId="9" fillId="0" borderId="0" xfId="0" applyFont="1" applyFill="1" applyBorder="1"/>
    <xf numFmtId="0" fontId="10" fillId="0" borderId="0" xfId="0" applyFont="1" applyFill="1" applyBorder="1"/>
    <xf numFmtId="0" fontId="8" fillId="0" borderId="0" xfId="0" applyFont="1" applyFill="1" applyBorder="1"/>
    <xf numFmtId="0" fontId="8" fillId="0" borderId="0" xfId="0" applyFont="1" applyBorder="1"/>
    <xf numFmtId="0" fontId="10" fillId="0" borderId="0" xfId="0" applyFont="1" applyBorder="1"/>
    <xf numFmtId="1" fontId="0" fillId="0" borderId="0" xfId="0" applyNumberFormat="1" applyBorder="1"/>
    <xf numFmtId="2" fontId="0" fillId="0" borderId="0" xfId="0" applyNumberFormat="1" applyFill="1" applyBorder="1"/>
    <xf numFmtId="0" fontId="0" fillId="0" borderId="0" xfId="0" applyFont="1" applyFill="1" applyBorder="1"/>
    <xf numFmtId="0" fontId="13" fillId="0" borderId="0" xfId="0" applyFont="1" applyBorder="1"/>
    <xf numFmtId="0" fontId="16" fillId="0" borderId="0" xfId="0" applyFont="1" applyAlignment="1">
      <alignment horizontal="center"/>
    </xf>
    <xf numFmtId="0" fontId="16" fillId="0" borderId="0" xfId="0" applyFont="1"/>
    <xf numFmtId="164" fontId="12" fillId="0" borderId="0" xfId="0" applyNumberFormat="1" applyFont="1" applyBorder="1"/>
    <xf numFmtId="164" fontId="12" fillId="0" borderId="0" xfId="0" applyNumberFormat="1" applyFont="1" applyFill="1" applyBorder="1"/>
    <xf numFmtId="0" fontId="0" fillId="0" borderId="12" xfId="0" applyBorder="1" applyAlignment="1">
      <alignment horizontal="left" wrapText="1"/>
    </xf>
    <xf numFmtId="0" fontId="8" fillId="0" borderId="11" xfId="0" applyFont="1" applyBorder="1"/>
    <xf numFmtId="0" fontId="8" fillId="0" borderId="11" xfId="0" applyFont="1" applyFill="1" applyBorder="1"/>
    <xf numFmtId="0" fontId="8" fillId="0" borderId="14" xfId="0" applyFont="1" applyFill="1" applyBorder="1"/>
    <xf numFmtId="0" fontId="8" fillId="0" borderId="0" xfId="0" applyFont="1" applyBorder="1" applyAlignment="1">
      <alignment wrapText="1"/>
    </xf>
    <xf numFmtId="0" fontId="8" fillId="0" borderId="0" xfId="0" applyFont="1" applyBorder="1" applyAlignment="1">
      <alignment horizontal="left" wrapText="1"/>
    </xf>
    <xf numFmtId="0" fontId="8" fillId="0" borderId="14" xfId="0" applyFont="1" applyBorder="1"/>
    <xf numFmtId="9" fontId="0" fillId="0" borderId="0" xfId="0" applyNumberFormat="1" applyFont="1" applyFill="1" applyBorder="1"/>
    <xf numFmtId="0" fontId="10" fillId="8" borderId="8" xfId="0" applyFont="1" applyFill="1" applyBorder="1"/>
    <xf numFmtId="0" fontId="3" fillId="8" borderId="8" xfId="0" applyFont="1" applyFill="1" applyBorder="1"/>
    <xf numFmtId="0" fontId="3" fillId="8" borderId="11" xfId="0" applyFont="1" applyFill="1" applyBorder="1"/>
    <xf numFmtId="0" fontId="3" fillId="8" borderId="13" xfId="0" applyFont="1" applyFill="1" applyBorder="1"/>
    <xf numFmtId="2" fontId="7" fillId="0" borderId="0" xfId="0" applyNumberFormat="1" applyFont="1" applyBorder="1"/>
    <xf numFmtId="0" fontId="0" fillId="4" borderId="8" xfId="0" applyFont="1" applyFill="1" applyBorder="1"/>
    <xf numFmtId="0" fontId="0" fillId="4" borderId="10" xfId="0" applyFont="1" applyFill="1" applyBorder="1" applyAlignment="1">
      <alignment wrapText="1"/>
    </xf>
    <xf numFmtId="0" fontId="0" fillId="4" borderId="11" xfId="0" applyFont="1" applyFill="1" applyBorder="1"/>
    <xf numFmtId="0" fontId="0" fillId="8" borderId="9" xfId="0" applyFont="1" applyFill="1" applyBorder="1"/>
    <xf numFmtId="0" fontId="0" fillId="8" borderId="14" xfId="0" applyFont="1" applyFill="1" applyBorder="1"/>
    <xf numFmtId="164" fontId="0" fillId="0" borderId="0" xfId="0" applyNumberFormat="1" applyFont="1" applyBorder="1"/>
    <xf numFmtId="0" fontId="0" fillId="0" borderId="0" xfId="0" applyFont="1" applyBorder="1" applyAlignment="1">
      <alignment horizontal="left"/>
    </xf>
    <xf numFmtId="0" fontId="0" fillId="0" borderId="13" xfId="0" applyFont="1" applyBorder="1"/>
    <xf numFmtId="0" fontId="0" fillId="0" borderId="0" xfId="0" applyFont="1" applyBorder="1" applyAlignment="1">
      <alignment horizontal="left" wrapText="1"/>
    </xf>
    <xf numFmtId="0" fontId="0" fillId="0" borderId="11" xfId="0" applyFont="1" applyFill="1" applyBorder="1"/>
    <xf numFmtId="0" fontId="0" fillId="0" borderId="8" xfId="0" applyFont="1" applyBorder="1"/>
    <xf numFmtId="0" fontId="0" fillId="0" borderId="9" xfId="0" applyFont="1" applyBorder="1"/>
    <xf numFmtId="0" fontId="0" fillId="0" borderId="15" xfId="0" applyFont="1" applyBorder="1"/>
    <xf numFmtId="164" fontId="0" fillId="0" borderId="0" xfId="0" applyNumberFormat="1" applyFont="1" applyFill="1" applyBorder="1"/>
    <xf numFmtId="0" fontId="8" fillId="0" borderId="13" xfId="0" applyFont="1" applyBorder="1"/>
    <xf numFmtId="0" fontId="0" fillId="8" borderId="0" xfId="0" applyFont="1" applyFill="1" applyBorder="1"/>
    <xf numFmtId="0" fontId="0" fillId="0" borderId="10" xfId="0" applyFont="1" applyBorder="1"/>
    <xf numFmtId="0" fontId="0" fillId="0" borderId="12" xfId="0" applyFont="1" applyBorder="1" applyAlignment="1">
      <alignment horizontal="left"/>
    </xf>
    <xf numFmtId="0" fontId="20" fillId="8" borderId="11" xfId="0" applyFont="1" applyFill="1" applyBorder="1"/>
    <xf numFmtId="0" fontId="20" fillId="0" borderId="8" xfId="0" applyFont="1" applyFill="1" applyBorder="1"/>
    <xf numFmtId="164" fontId="0" fillId="0" borderId="9" xfId="0" applyNumberFormat="1" applyFont="1" applyBorder="1"/>
    <xf numFmtId="0" fontId="18" fillId="0" borderId="0" xfId="0" applyFont="1" applyFill="1" applyBorder="1"/>
    <xf numFmtId="0" fontId="0" fillId="0" borderId="0" xfId="0" applyAlignment="1">
      <alignment wrapText="1"/>
    </xf>
    <xf numFmtId="0" fontId="0" fillId="0" borderId="0" xfId="0" applyAlignment="1">
      <alignment horizontal="left" wrapText="1"/>
    </xf>
    <xf numFmtId="0" fontId="0" fillId="0" borderId="0" xfId="0" applyAlignment="1">
      <alignment horizontal="left"/>
    </xf>
    <xf numFmtId="0" fontId="0" fillId="0" borderId="14" xfId="0" applyBorder="1" applyAlignment="1">
      <alignment wrapText="1"/>
    </xf>
    <xf numFmtId="0" fontId="0" fillId="0" borderId="0" xfId="0" applyFill="1"/>
    <xf numFmtId="0" fontId="0" fillId="4" borderId="8" xfId="0" applyFont="1" applyFill="1" applyBorder="1" applyAlignment="1">
      <alignment horizontal="left" vertical="top"/>
    </xf>
    <xf numFmtId="0" fontId="0" fillId="4" borderId="11" xfId="0" applyFont="1" applyFill="1" applyBorder="1" applyAlignment="1">
      <alignment horizontal="left" vertical="top"/>
    </xf>
    <xf numFmtId="0" fontId="0" fillId="4" borderId="13" xfId="0" applyFont="1" applyFill="1" applyBorder="1" applyAlignment="1">
      <alignment horizontal="left" vertical="top"/>
    </xf>
    <xf numFmtId="0" fontId="0" fillId="0" borderId="0" xfId="0" applyFont="1" applyFill="1" applyBorder="1" applyAlignment="1">
      <alignment horizontal="left" vertical="top"/>
    </xf>
    <xf numFmtId="0" fontId="7" fillId="0" borderId="0" xfId="0" applyFont="1"/>
    <xf numFmtId="0" fontId="0" fillId="0" borderId="0" xfId="0" applyAlignment="1">
      <alignment horizontal="center"/>
    </xf>
    <xf numFmtId="0" fontId="0" fillId="0" borderId="0" xfId="0" applyFont="1" applyBorder="1" applyAlignment="1"/>
    <xf numFmtId="0" fontId="21" fillId="0" borderId="0" xfId="0" applyFont="1"/>
    <xf numFmtId="2" fontId="0" fillId="0" borderId="0" xfId="0" applyNumberFormat="1" applyAlignment="1">
      <alignment horizontal="right"/>
    </xf>
    <xf numFmtId="164" fontId="7" fillId="0" borderId="0" xfId="0" applyNumberFormat="1" applyFont="1"/>
    <xf numFmtId="164" fontId="8" fillId="0" borderId="0" xfId="0" applyNumberFormat="1" applyFont="1"/>
    <xf numFmtId="0" fontId="21" fillId="0" borderId="8" xfId="0" applyFont="1" applyBorder="1"/>
    <xf numFmtId="0" fontId="21" fillId="0" borderId="9" xfId="0" applyFont="1" applyBorder="1"/>
    <xf numFmtId="0" fontId="22" fillId="0" borderId="9" xfId="0" applyFont="1" applyBorder="1"/>
    <xf numFmtId="0" fontId="21" fillId="0" borderId="9" xfId="0" applyFont="1" applyBorder="1" applyAlignment="1">
      <alignment horizontal="left"/>
    </xf>
    <xf numFmtId="0" fontId="21" fillId="0" borderId="10" xfId="0" applyFont="1" applyBorder="1" applyAlignment="1">
      <alignment horizontal="left"/>
    </xf>
    <xf numFmtId="2" fontId="21" fillId="0" borderId="0" xfId="0" applyNumberFormat="1" applyFont="1"/>
    <xf numFmtId="164" fontId="21" fillId="0" borderId="0" xfId="0" applyNumberFormat="1" applyFont="1"/>
    <xf numFmtId="0" fontId="21" fillId="0" borderId="11" xfId="0" applyFont="1" applyBorder="1"/>
    <xf numFmtId="0" fontId="21" fillId="0" borderId="12" xfId="0" applyFont="1" applyBorder="1"/>
    <xf numFmtId="0" fontId="22" fillId="0" borderId="0" xfId="0" applyFont="1"/>
    <xf numFmtId="0" fontId="22" fillId="0" borderId="16" xfId="0" applyFont="1" applyBorder="1"/>
    <xf numFmtId="165" fontId="21" fillId="0" borderId="17" xfId="0" applyNumberFormat="1" applyFont="1" applyBorder="1"/>
    <xf numFmtId="0" fontId="21" fillId="2" borderId="17" xfId="0" applyFont="1" applyFill="1" applyBorder="1" applyAlignment="1">
      <alignment horizontal="left"/>
    </xf>
    <xf numFmtId="0" fontId="21" fillId="2" borderId="18" xfId="0" applyFont="1" applyFill="1" applyBorder="1" applyAlignment="1">
      <alignment horizontal="left"/>
    </xf>
    <xf numFmtId="0" fontId="21" fillId="2" borderId="16" xfId="0" applyFont="1" applyFill="1" applyBorder="1"/>
    <xf numFmtId="0" fontId="21" fillId="2" borderId="18" xfId="0" applyFont="1" applyFill="1" applyBorder="1"/>
    <xf numFmtId="0" fontId="21" fillId="0" borderId="0" xfId="0" applyFont="1" applyAlignment="1">
      <alignment wrapText="1"/>
    </xf>
    <xf numFmtId="0" fontId="21" fillId="0" borderId="0" xfId="0" applyFont="1" applyAlignment="1">
      <alignment horizontal="left" wrapText="1"/>
    </xf>
    <xf numFmtId="0" fontId="21" fillId="0" borderId="12" xfId="0" applyFont="1" applyBorder="1" applyAlignment="1">
      <alignment horizontal="left" wrapText="1"/>
    </xf>
    <xf numFmtId="0" fontId="21" fillId="0" borderId="0" xfId="0" applyFont="1" applyAlignment="1">
      <alignment horizontal="left"/>
    </xf>
    <xf numFmtId="0" fontId="21" fillId="0" borderId="12" xfId="0" applyFont="1" applyBorder="1" applyAlignment="1">
      <alignment horizontal="left"/>
    </xf>
    <xf numFmtId="164" fontId="21" fillId="2" borderId="18" xfId="0" applyNumberFormat="1" applyFont="1" applyFill="1" applyBorder="1" applyAlignment="1">
      <alignment horizontal="left"/>
    </xf>
    <xf numFmtId="164" fontId="21" fillId="0" borderId="12" xfId="0" applyNumberFormat="1" applyFont="1" applyBorder="1" applyAlignment="1">
      <alignment horizontal="left"/>
    </xf>
    <xf numFmtId="0" fontId="21" fillId="0" borderId="13" xfId="0" applyFont="1" applyBorder="1"/>
    <xf numFmtId="0" fontId="21" fillId="0" borderId="14" xfId="0" applyFont="1" applyBorder="1"/>
    <xf numFmtId="0" fontId="21" fillId="0" borderId="15" xfId="0" applyFont="1" applyBorder="1" applyAlignment="1">
      <alignment horizontal="left"/>
    </xf>
    <xf numFmtId="0" fontId="21" fillId="0" borderId="14" xfId="0" applyFont="1" applyBorder="1" applyAlignment="1">
      <alignment wrapText="1"/>
    </xf>
    <xf numFmtId="0" fontId="21" fillId="0" borderId="14" xfId="0" applyFont="1" applyBorder="1" applyAlignment="1">
      <alignment horizontal="left"/>
    </xf>
    <xf numFmtId="0" fontId="23" fillId="0" borderId="0" xfId="0" applyFont="1" applyFill="1" applyBorder="1"/>
    <xf numFmtId="0" fontId="3" fillId="0" borderId="0" xfId="0" applyFont="1" applyBorder="1" applyAlignment="1">
      <alignment horizontal="center"/>
    </xf>
    <xf numFmtId="164" fontId="8" fillId="0" borderId="0" xfId="0" applyNumberFormat="1" applyFont="1" applyBorder="1"/>
    <xf numFmtId="0" fontId="10" fillId="0" borderId="11" xfId="0" applyFont="1" applyBorder="1"/>
    <xf numFmtId="0" fontId="8" fillId="0" borderId="9" xfId="0" applyFont="1" applyBorder="1"/>
    <xf numFmtId="0" fontId="23" fillId="0" borderId="0" xfId="0" applyFont="1"/>
    <xf numFmtId="0" fontId="23" fillId="0" borderId="0" xfId="0" applyFont="1" applyFill="1" applyBorder="1" applyAlignment="1">
      <alignment wrapText="1"/>
    </xf>
    <xf numFmtId="164" fontId="23" fillId="0" borderId="0" xfId="0" applyNumberFormat="1" applyFont="1" applyFill="1" applyBorder="1"/>
    <xf numFmtId="164" fontId="8" fillId="0" borderId="0" xfId="0" applyNumberFormat="1" applyFont="1" applyFill="1" applyBorder="1"/>
    <xf numFmtId="164" fontId="8" fillId="0" borderId="22" xfId="0" applyNumberFormat="1" applyFont="1" applyFill="1" applyBorder="1"/>
    <xf numFmtId="0" fontId="8" fillId="0" borderId="12" xfId="0" applyFont="1" applyFill="1" applyBorder="1"/>
    <xf numFmtId="0" fontId="8" fillId="0" borderId="8" xfId="0" applyFont="1" applyBorder="1"/>
    <xf numFmtId="0" fontId="8" fillId="0" borderId="12" xfId="0" applyFont="1" applyBorder="1"/>
    <xf numFmtId="164" fontId="8" fillId="0" borderId="10" xfId="0" applyNumberFormat="1" applyFont="1" applyFill="1" applyBorder="1"/>
    <xf numFmtId="0" fontId="0" fillId="10" borderId="0" xfId="0" applyFont="1" applyFill="1"/>
    <xf numFmtId="164" fontId="0" fillId="10" borderId="0" xfId="0" applyNumberFormat="1" applyFont="1" applyFill="1" applyBorder="1"/>
    <xf numFmtId="0" fontId="0" fillId="6" borderId="0" xfId="0" applyFont="1" applyFill="1"/>
    <xf numFmtId="0" fontId="8" fillId="8" borderId="9" xfId="0" applyFont="1" applyFill="1" applyBorder="1"/>
    <xf numFmtId="0" fontId="8" fillId="8" borderId="0" xfId="0" applyFont="1" applyFill="1" applyBorder="1"/>
    <xf numFmtId="0" fontId="8" fillId="0" borderId="11" xfId="0" applyFont="1" applyBorder="1" applyAlignment="1">
      <alignment wrapText="1"/>
    </xf>
    <xf numFmtId="0" fontId="8" fillId="8" borderId="14" xfId="0" applyFont="1" applyFill="1" applyBorder="1"/>
    <xf numFmtId="0" fontId="8" fillId="0" borderId="0" xfId="0" applyFont="1"/>
    <xf numFmtId="0" fontId="8" fillId="0" borderId="15" xfId="0" applyFont="1" applyBorder="1"/>
    <xf numFmtId="165" fontId="8" fillId="0" borderId="0" xfId="0" applyNumberFormat="1" applyFont="1" applyBorder="1"/>
    <xf numFmtId="2" fontId="8" fillId="0" borderId="0" xfId="0" applyNumberFormat="1" applyFont="1" applyBorder="1"/>
    <xf numFmtId="164" fontId="8" fillId="0" borderId="14" xfId="0" applyNumberFormat="1" applyFont="1" applyFill="1" applyBorder="1"/>
    <xf numFmtId="0" fontId="8" fillId="0" borderId="10" xfId="0" applyFont="1" applyBorder="1"/>
    <xf numFmtId="2" fontId="8" fillId="0" borderId="12" xfId="0" applyNumberFormat="1" applyFont="1" applyBorder="1"/>
    <xf numFmtId="0" fontId="0" fillId="0" borderId="0" xfId="0" applyAlignment="1"/>
    <xf numFmtId="0" fontId="7" fillId="0" borderId="9" xfId="0" applyFont="1" applyBorder="1" applyAlignment="1"/>
    <xf numFmtId="0" fontId="0" fillId="0" borderId="0" xfId="0" applyBorder="1" applyAlignment="1"/>
    <xf numFmtId="0" fontId="23" fillId="0" borderId="0" xfId="0" applyFont="1" applyAlignment="1"/>
    <xf numFmtId="0" fontId="23" fillId="0" borderId="0" xfId="0" applyFont="1" applyFill="1" applyBorder="1" applyAlignment="1"/>
    <xf numFmtId="0" fontId="0" fillId="0" borderId="0" xfId="0" applyFont="1" applyAlignment="1">
      <alignment horizontal="center"/>
    </xf>
    <xf numFmtId="0" fontId="0" fillId="0" borderId="0" xfId="0" applyFont="1" applyBorder="1" applyAlignment="1">
      <alignment horizontal="center"/>
    </xf>
    <xf numFmtId="0" fontId="0" fillId="0" borderId="14" xfId="0" applyFont="1" applyBorder="1" applyAlignment="1">
      <alignment horizontal="center"/>
    </xf>
    <xf numFmtId="0" fontId="0" fillId="0" borderId="9" xfId="0" applyFont="1" applyBorder="1" applyAlignment="1">
      <alignment horizontal="center"/>
    </xf>
    <xf numFmtId="0" fontId="8" fillId="0" borderId="11" xfId="0" quotePrefix="1" applyFont="1" applyBorder="1"/>
    <xf numFmtId="0" fontId="8" fillId="0" borderId="0" xfId="0" applyFont="1" applyBorder="1" applyAlignment="1"/>
    <xf numFmtId="0" fontId="8" fillId="0" borderId="2" xfId="0" applyFont="1" applyBorder="1" applyAlignment="1">
      <alignment horizontal="center"/>
    </xf>
    <xf numFmtId="0" fontId="8" fillId="0" borderId="0" xfId="0" applyFont="1" applyBorder="1" applyAlignment="1">
      <alignment horizontal="center"/>
    </xf>
    <xf numFmtId="0" fontId="8" fillId="0" borderId="13" xfId="0" applyFont="1" applyBorder="1" applyAlignment="1">
      <alignment wrapText="1"/>
    </xf>
    <xf numFmtId="0" fontId="8" fillId="0" borderId="8" xfId="0" applyFont="1" applyBorder="1" applyAlignment="1"/>
    <xf numFmtId="0" fontId="8" fillId="0" borderId="11" xfId="0" applyFont="1" applyBorder="1" applyAlignment="1"/>
    <xf numFmtId="9" fontId="8" fillId="0" borderId="0" xfId="0" applyNumberFormat="1" applyFont="1" applyFill="1" applyBorder="1"/>
    <xf numFmtId="9" fontId="8" fillId="0" borderId="0" xfId="0" applyNumberFormat="1" applyFont="1" applyBorder="1"/>
    <xf numFmtId="0" fontId="25" fillId="0" borderId="19" xfId="1" applyBorder="1"/>
    <xf numFmtId="0" fontId="0" fillId="0" borderId="23" xfId="0" applyFont="1" applyBorder="1"/>
    <xf numFmtId="164" fontId="8" fillId="0" borderId="24" xfId="0" applyNumberFormat="1" applyFont="1" applyFill="1" applyBorder="1"/>
    <xf numFmtId="164" fontId="0" fillId="0" borderId="0" xfId="0" applyNumberFormat="1" applyFill="1" applyBorder="1"/>
    <xf numFmtId="164" fontId="0" fillId="0" borderId="14" xfId="0" applyNumberFormat="1" applyBorder="1"/>
    <xf numFmtId="9" fontId="8" fillId="0" borderId="11" xfId="0" applyNumberFormat="1" applyFont="1" applyFill="1" applyBorder="1"/>
    <xf numFmtId="9" fontId="0" fillId="0" borderId="0" xfId="0" applyNumberFormat="1" applyFont="1" applyBorder="1"/>
    <xf numFmtId="9" fontId="0" fillId="0" borderId="0" xfId="2" applyFont="1" applyBorder="1"/>
    <xf numFmtId="0" fontId="0" fillId="4" borderId="13" xfId="0" applyFont="1" applyFill="1" applyBorder="1"/>
    <xf numFmtId="0" fontId="0" fillId="11" borderId="8" xfId="0" applyFont="1" applyFill="1" applyBorder="1"/>
    <xf numFmtId="0" fontId="0" fillId="11" borderId="10" xfId="0" applyFont="1" applyFill="1" applyBorder="1" applyAlignment="1">
      <alignment wrapText="1"/>
    </xf>
    <xf numFmtId="0" fontId="0" fillId="11" borderId="11" xfId="0" applyFont="1" applyFill="1" applyBorder="1"/>
    <xf numFmtId="9" fontId="0" fillId="11" borderId="12" xfId="0" applyNumberFormat="1" applyFill="1" applyBorder="1"/>
    <xf numFmtId="0" fontId="0" fillId="11" borderId="13" xfId="0" applyFont="1" applyFill="1" applyBorder="1"/>
    <xf numFmtId="0" fontId="0" fillId="11" borderId="15" xfId="0" applyFont="1" applyFill="1" applyBorder="1"/>
    <xf numFmtId="0" fontId="13" fillId="0" borderId="11" xfId="0" applyFont="1" applyBorder="1"/>
    <xf numFmtId="0" fontId="13" fillId="0" borderId="0" xfId="0" applyFont="1"/>
    <xf numFmtId="0" fontId="8" fillId="8" borderId="9" xfId="0" applyFont="1" applyFill="1" applyBorder="1" applyAlignment="1"/>
    <xf numFmtId="0" fontId="8" fillId="8" borderId="10" xfId="0" applyFont="1" applyFill="1" applyBorder="1"/>
    <xf numFmtId="0" fontId="20" fillId="8" borderId="13" xfId="0" applyFont="1" applyFill="1" applyBorder="1"/>
    <xf numFmtId="0" fontId="8" fillId="8" borderId="14" xfId="0" applyFont="1" applyFill="1" applyBorder="1" applyAlignment="1"/>
    <xf numFmtId="0" fontId="8" fillId="8" borderId="15" xfId="0" applyFont="1" applyFill="1" applyBorder="1"/>
    <xf numFmtId="0" fontId="8" fillId="8" borderId="0" xfId="0" applyFont="1" applyFill="1" applyBorder="1" applyAlignment="1"/>
    <xf numFmtId="0" fontId="8" fillId="8" borderId="12" xfId="0" applyFont="1" applyFill="1" applyBorder="1"/>
    <xf numFmtId="164" fontId="24" fillId="0" borderId="0" xfId="0" applyNumberFormat="1" applyFont="1" applyFill="1" applyBorder="1"/>
    <xf numFmtId="0" fontId="24" fillId="0" borderId="0" xfId="0" applyFont="1" applyAlignment="1">
      <alignment horizontal="right"/>
    </xf>
    <xf numFmtId="0" fontId="0" fillId="3" borderId="0" xfId="0" applyFont="1" applyFill="1" applyBorder="1"/>
    <xf numFmtId="164" fontId="0" fillId="0" borderId="22" xfId="0" applyNumberFormat="1" applyFont="1" applyFill="1" applyBorder="1"/>
    <xf numFmtId="0" fontId="0" fillId="8" borderId="10" xfId="0" applyFont="1" applyFill="1" applyBorder="1" applyAlignment="1">
      <alignment horizontal="center"/>
    </xf>
    <xf numFmtId="0" fontId="0" fillId="8" borderId="12" xfId="0" applyFont="1" applyFill="1" applyBorder="1" applyAlignment="1">
      <alignment horizontal="center"/>
    </xf>
    <xf numFmtId="0" fontId="0" fillId="8" borderId="15" xfId="0" applyFont="1" applyFill="1" applyBorder="1" applyAlignment="1">
      <alignment horizontal="center"/>
    </xf>
    <xf numFmtId="0" fontId="0" fillId="0" borderId="12" xfId="0" applyFont="1" applyBorder="1" applyAlignment="1">
      <alignment horizontal="center"/>
    </xf>
    <xf numFmtId="0" fontId="0" fillId="0" borderId="12" xfId="0" applyFont="1" applyBorder="1" applyAlignment="1">
      <alignment horizontal="center" wrapText="1"/>
    </xf>
    <xf numFmtId="0" fontId="0" fillId="0" borderId="15" xfId="0" applyFont="1" applyBorder="1" applyAlignment="1">
      <alignment horizontal="center"/>
    </xf>
    <xf numFmtId="9" fontId="0" fillId="0" borderId="0" xfId="0" applyNumberFormat="1" applyFont="1"/>
    <xf numFmtId="0" fontId="10" fillId="8" borderId="11" xfId="0" applyFont="1" applyFill="1" applyBorder="1"/>
    <xf numFmtId="0" fontId="0" fillId="0" borderId="0" xfId="0" applyAlignment="1">
      <alignment horizontal="center"/>
    </xf>
    <xf numFmtId="0" fontId="0" fillId="12" borderId="16" xfId="0" applyFont="1" applyFill="1" applyBorder="1"/>
    <xf numFmtId="164" fontId="8" fillId="12" borderId="0" xfId="0" applyNumberFormat="1" applyFont="1" applyFill="1" applyBorder="1"/>
    <xf numFmtId="164" fontId="12" fillId="12" borderId="0" xfId="0" applyNumberFormat="1" applyFont="1" applyFill="1" applyBorder="1"/>
    <xf numFmtId="0" fontId="1" fillId="0" borderId="0" xfId="0" applyFont="1"/>
    <xf numFmtId="2" fontId="21" fillId="0" borderId="0" xfId="0" applyNumberFormat="1" applyFont="1" applyAlignment="1">
      <alignment horizontal="right"/>
    </xf>
    <xf numFmtId="0" fontId="21" fillId="0" borderId="0" xfId="0" applyFont="1" applyBorder="1"/>
    <xf numFmtId="0" fontId="21" fillId="0" borderId="0" xfId="0" applyFont="1" applyBorder="1" applyAlignment="1">
      <alignment wrapText="1"/>
    </xf>
    <xf numFmtId="0" fontId="28" fillId="0" borderId="0" xfId="0" applyFont="1" applyAlignment="1">
      <alignment horizontal="center"/>
    </xf>
    <xf numFmtId="0" fontId="0" fillId="0" borderId="0" xfId="0" applyBorder="1" applyAlignment="1">
      <alignment horizontal="left"/>
    </xf>
    <xf numFmtId="164" fontId="13" fillId="0" borderId="0" xfId="0" applyNumberFormat="1" applyFont="1" applyBorder="1"/>
    <xf numFmtId="0" fontId="29" fillId="0" borderId="0" xfId="0" applyFont="1" applyBorder="1"/>
    <xf numFmtId="0" fontId="10" fillId="13" borderId="0" xfId="0" applyFont="1" applyFill="1" applyAlignment="1"/>
    <xf numFmtId="0" fontId="8" fillId="13" borderId="0" xfId="0" applyFont="1" applyFill="1"/>
    <xf numFmtId="1" fontId="8" fillId="13" borderId="9" xfId="0" applyNumberFormat="1" applyFont="1" applyFill="1" applyBorder="1" applyAlignment="1">
      <alignment horizontal="right"/>
    </xf>
    <xf numFmtId="1" fontId="8" fillId="13" borderId="15" xfId="0" applyNumberFormat="1" applyFont="1" applyFill="1" applyBorder="1" applyAlignment="1">
      <alignment horizontal="right"/>
    </xf>
    <xf numFmtId="1" fontId="8" fillId="13" borderId="0" xfId="0" applyNumberFormat="1" applyFont="1" applyFill="1" applyBorder="1" applyAlignment="1">
      <alignment horizontal="right"/>
    </xf>
    <xf numFmtId="0" fontId="3" fillId="0" borderId="0" xfId="0" applyFont="1" applyFill="1"/>
    <xf numFmtId="0" fontId="3" fillId="0" borderId="0" xfId="0" applyFont="1" applyFill="1" applyBorder="1"/>
    <xf numFmtId="0" fontId="27" fillId="11" borderId="0" xfId="0" applyFont="1" applyFill="1" applyAlignment="1">
      <alignment vertical="center" textRotation="90"/>
    </xf>
    <xf numFmtId="0" fontId="8" fillId="13" borderId="13" xfId="0" applyFont="1" applyFill="1" applyBorder="1"/>
    <xf numFmtId="0" fontId="8" fillId="13" borderId="14" xfId="0" applyFont="1" applyFill="1" applyBorder="1"/>
    <xf numFmtId="0" fontId="26" fillId="0" borderId="0" xfId="3"/>
    <xf numFmtId="0" fontId="3" fillId="0" borderId="0" xfId="3" applyFont="1"/>
    <xf numFmtId="0" fontId="0" fillId="0" borderId="0" xfId="0" applyAlignment="1">
      <alignment vertical="top"/>
    </xf>
    <xf numFmtId="0" fontId="0" fillId="0" borderId="22" xfId="0" applyFont="1" applyFill="1" applyBorder="1"/>
    <xf numFmtId="165" fontId="12" fillId="0" borderId="0" xfId="0" applyNumberFormat="1" applyFont="1" applyBorder="1"/>
    <xf numFmtId="0" fontId="0" fillId="0" borderId="22" xfId="0" applyFont="1" applyBorder="1"/>
    <xf numFmtId="0" fontId="13" fillId="0" borderId="23" xfId="0" applyFont="1" applyBorder="1"/>
    <xf numFmtId="164" fontId="13" fillId="0" borderId="22" xfId="0" applyNumberFormat="1" applyFont="1" applyBorder="1"/>
    <xf numFmtId="0" fontId="13" fillId="0" borderId="22" xfId="0" applyFont="1" applyBorder="1"/>
    <xf numFmtId="164" fontId="13" fillId="0" borderId="24" xfId="0" applyNumberFormat="1" applyFont="1" applyBorder="1"/>
    <xf numFmtId="165" fontId="0" fillId="0" borderId="0" xfId="0" applyNumberFormat="1" applyFont="1" applyFill="1" applyBorder="1"/>
    <xf numFmtId="0" fontId="0" fillId="0" borderId="24" xfId="0" applyFont="1" applyFill="1" applyBorder="1"/>
    <xf numFmtId="0" fontId="0" fillId="0" borderId="24" xfId="0" applyFont="1" applyBorder="1"/>
    <xf numFmtId="164" fontId="13" fillId="0" borderId="23" xfId="0" applyNumberFormat="1" applyFont="1" applyFill="1" applyBorder="1"/>
    <xf numFmtId="0" fontId="13" fillId="0" borderId="24" xfId="0" applyFont="1" applyBorder="1"/>
    <xf numFmtId="0" fontId="10" fillId="0" borderId="0" xfId="0" applyFont="1" applyFill="1" applyBorder="1" applyAlignment="1">
      <alignment horizontal="center" wrapText="1"/>
    </xf>
    <xf numFmtId="0" fontId="3" fillId="0" borderId="13" xfId="0" applyFont="1" applyBorder="1" applyAlignment="1">
      <alignment horizontal="center"/>
    </xf>
    <xf numFmtId="0" fontId="3" fillId="0" borderId="14" xfId="0" applyFont="1" applyBorder="1" applyAlignment="1">
      <alignment horizontal="center"/>
    </xf>
    <xf numFmtId="0" fontId="32" fillId="0" borderId="15" xfId="0" applyFont="1" applyBorder="1" applyAlignment="1">
      <alignment horizontal="center"/>
    </xf>
    <xf numFmtId="0" fontId="10" fillId="8" borderId="9" xfId="0" applyFont="1" applyFill="1" applyBorder="1" applyAlignment="1"/>
    <xf numFmtId="0" fontId="8" fillId="8" borderId="10" xfId="0" applyFont="1" applyFill="1" applyBorder="1" applyAlignment="1"/>
    <xf numFmtId="0" fontId="10" fillId="8" borderId="13" xfId="0" applyFont="1" applyFill="1" applyBorder="1"/>
    <xf numFmtId="165" fontId="0" fillId="0" borderId="0" xfId="0" applyNumberFormat="1" applyFont="1" applyBorder="1"/>
    <xf numFmtId="0" fontId="0" fillId="0" borderId="0" xfId="0" quotePrefix="1" applyFont="1" applyBorder="1"/>
    <xf numFmtId="0" fontId="0" fillId="17" borderId="0" xfId="0" applyFont="1" applyFill="1"/>
    <xf numFmtId="0" fontId="0" fillId="17" borderId="0" xfId="0" applyFont="1" applyFill="1" applyBorder="1"/>
    <xf numFmtId="0" fontId="12" fillId="0" borderId="22" xfId="0" applyFont="1" applyFill="1" applyBorder="1"/>
    <xf numFmtId="164" fontId="12" fillId="0" borderId="22" xfId="0" applyNumberFormat="1" applyFont="1" applyFill="1" applyBorder="1"/>
    <xf numFmtId="164" fontId="12" fillId="0" borderId="24" xfId="0" applyNumberFormat="1" applyFont="1" applyFill="1" applyBorder="1" applyAlignment="1">
      <alignment horizontal="right" vertical="top"/>
    </xf>
    <xf numFmtId="164" fontId="12" fillId="0" borderId="22" xfId="0" applyNumberFormat="1" applyFont="1" applyBorder="1"/>
    <xf numFmtId="165" fontId="0" fillId="0" borderId="22" xfId="0" applyNumberFormat="1" applyFont="1" applyFill="1" applyBorder="1"/>
    <xf numFmtId="165" fontId="12" fillId="0" borderId="22" xfId="0" applyNumberFormat="1" applyFont="1" applyFill="1" applyBorder="1"/>
    <xf numFmtId="0" fontId="0" fillId="0" borderId="0" xfId="0" applyFont="1" applyFill="1"/>
    <xf numFmtId="0" fontId="31" fillId="0" borderId="0" xfId="0" applyFont="1"/>
    <xf numFmtId="0" fontId="0" fillId="13" borderId="0" xfId="0" applyFont="1" applyFill="1"/>
    <xf numFmtId="0" fontId="0" fillId="0" borderId="0" xfId="0" applyAlignment="1">
      <alignment vertical="top" wrapText="1"/>
    </xf>
    <xf numFmtId="0" fontId="3" fillId="0" borderId="0" xfId="0" applyFont="1" applyAlignment="1">
      <alignment horizontal="center"/>
    </xf>
    <xf numFmtId="0" fontId="12" fillId="0" borderId="0" xfId="0" applyFont="1" applyAlignment="1">
      <alignment horizontal="left"/>
    </xf>
    <xf numFmtId="0" fontId="0" fillId="0" borderId="0" xfId="0" applyAlignment="1">
      <alignment horizontal="left" vertical="center"/>
    </xf>
    <xf numFmtId="0" fontId="12" fillId="0" borderId="0" xfId="0" applyFont="1" applyAlignment="1">
      <alignment horizontal="left" vertical="center" wrapText="1"/>
    </xf>
    <xf numFmtId="0" fontId="0" fillId="0" borderId="0" xfId="0" applyAlignment="1">
      <alignment horizontal="left" vertical="center" wrapText="1"/>
    </xf>
    <xf numFmtId="0" fontId="21" fillId="0" borderId="0" xfId="0" applyFont="1" applyBorder="1" applyAlignment="1">
      <alignment horizontal="left"/>
    </xf>
    <xf numFmtId="0" fontId="0" fillId="0" borderId="0" xfId="0" applyAlignment="1">
      <alignment horizontal="center"/>
    </xf>
    <xf numFmtId="1" fontId="8" fillId="13" borderId="14" xfId="0" applyNumberFormat="1" applyFont="1" applyFill="1" applyBorder="1"/>
    <xf numFmtId="0" fontId="26" fillId="0" borderId="0" xfId="3" applyBorder="1"/>
    <xf numFmtId="166" fontId="13" fillId="0" borderId="0" xfId="3" applyNumberFormat="1" applyFont="1" applyBorder="1"/>
    <xf numFmtId="166" fontId="26" fillId="0" borderId="0" xfId="3" applyNumberFormat="1" applyBorder="1"/>
    <xf numFmtId="0" fontId="26" fillId="0" borderId="0" xfId="3" applyAlignment="1">
      <alignment horizontal="center"/>
    </xf>
    <xf numFmtId="0" fontId="23" fillId="0" borderId="0" xfId="0" applyFont="1" applyFill="1" applyBorder="1" applyAlignment="1">
      <alignment horizontal="left"/>
    </xf>
    <xf numFmtId="0" fontId="0" fillId="13" borderId="0" xfId="0" applyFont="1" applyFill="1" applyBorder="1"/>
    <xf numFmtId="0" fontId="0" fillId="13" borderId="11" xfId="0" applyFont="1" applyFill="1" applyBorder="1"/>
    <xf numFmtId="0" fontId="0" fillId="0" borderId="10" xfId="0" applyBorder="1" applyAlignment="1">
      <alignment horizontal="center"/>
    </xf>
    <xf numFmtId="0" fontId="0" fillId="0" borderId="12"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164" fontId="8" fillId="12" borderId="14" xfId="0" applyNumberFormat="1" applyFont="1" applyFill="1" applyBorder="1"/>
    <xf numFmtId="164" fontId="8" fillId="12" borderId="15" xfId="0" applyNumberFormat="1" applyFont="1" applyFill="1" applyBorder="1"/>
    <xf numFmtId="0" fontId="0" fillId="0" borderId="13" xfId="0" applyFont="1" applyBorder="1" applyAlignment="1"/>
    <xf numFmtId="0" fontId="0" fillId="13" borderId="0" xfId="0" applyFont="1" applyFill="1" applyBorder="1" applyAlignment="1">
      <alignment horizontal="center"/>
    </xf>
    <xf numFmtId="164" fontId="8" fillId="13" borderId="9" xfId="0" applyNumberFormat="1" applyFont="1" applyFill="1" applyBorder="1" applyAlignment="1">
      <alignment horizontal="right"/>
    </xf>
    <xf numFmtId="164" fontId="8" fillId="13" borderId="14" xfId="0" applyNumberFormat="1" applyFont="1" applyFill="1" applyBorder="1"/>
    <xf numFmtId="164" fontId="8" fillId="13" borderId="0" xfId="0" applyNumberFormat="1" applyFont="1" applyFill="1" applyBorder="1" applyAlignment="1">
      <alignment horizontal="right"/>
    </xf>
    <xf numFmtId="1" fontId="13" fillId="0" borderId="0" xfId="0" applyNumberFormat="1" applyFont="1"/>
    <xf numFmtId="0" fontId="0" fillId="0" borderId="0" xfId="0" applyAlignment="1">
      <alignment horizontal="center"/>
    </xf>
    <xf numFmtId="0" fontId="35" fillId="0" borderId="0" xfId="0" applyFont="1"/>
    <xf numFmtId="0" fontId="0" fillId="16" borderId="0" xfId="0" applyFill="1" applyBorder="1"/>
    <xf numFmtId="1" fontId="0" fillId="16" borderId="0" xfId="0" applyNumberFormat="1" applyFill="1" applyBorder="1"/>
    <xf numFmtId="0" fontId="26" fillId="0" borderId="0" xfId="3" applyBorder="1" applyAlignment="1">
      <alignment horizontal="center"/>
    </xf>
    <xf numFmtId="0" fontId="0" fillId="0" borderId="8" xfId="0" applyFill="1" applyBorder="1"/>
    <xf numFmtId="0" fontId="0" fillId="0" borderId="13" xfId="0" applyFill="1" applyBorder="1"/>
    <xf numFmtId="0" fontId="0" fillId="0" borderId="15" xfId="0" applyFill="1" applyBorder="1"/>
    <xf numFmtId="0" fontId="0" fillId="3" borderId="0" xfId="0" applyFill="1" applyAlignment="1">
      <alignment horizontal="left"/>
    </xf>
    <xf numFmtId="0" fontId="36" fillId="0" borderId="0" xfId="0" applyFont="1"/>
    <xf numFmtId="0" fontId="36" fillId="0" borderId="0" xfId="0" applyFont="1" applyAlignment="1">
      <alignment horizontal="left"/>
    </xf>
    <xf numFmtId="0" fontId="37" fillId="0" borderId="0" xfId="0" applyFont="1"/>
    <xf numFmtId="0" fontId="38" fillId="0" borderId="0" xfId="0" applyFont="1"/>
    <xf numFmtId="2" fontId="37" fillId="0" borderId="0" xfId="0" applyNumberFormat="1" applyFont="1" applyAlignment="1">
      <alignment horizontal="right"/>
    </xf>
    <xf numFmtId="0" fontId="0" fillId="0" borderId="9" xfId="0" applyFill="1" applyBorder="1"/>
    <xf numFmtId="0" fontId="0" fillId="0" borderId="14" xfId="0" applyFill="1" applyBorder="1"/>
    <xf numFmtId="0" fontId="34" fillId="0" borderId="0" xfId="0" applyFont="1" applyBorder="1"/>
    <xf numFmtId="0" fontId="0" fillId="7" borderId="0" xfId="0" applyFill="1" applyBorder="1"/>
    <xf numFmtId="0" fontId="39" fillId="0" borderId="0" xfId="0" applyFont="1"/>
    <xf numFmtId="0" fontId="0" fillId="0" borderId="12" xfId="0" quotePrefix="1" applyFill="1" applyBorder="1"/>
    <xf numFmtId="0" fontId="0" fillId="0" borderId="0" xfId="0" applyAlignment="1">
      <alignment horizontal="center" vertical="center"/>
    </xf>
    <xf numFmtId="0" fontId="0" fillId="0" borderId="0" xfId="0" applyAlignment="1">
      <alignment horizontal="center"/>
    </xf>
    <xf numFmtId="0" fontId="3" fillId="0" borderId="8" xfId="0" applyFont="1" applyBorder="1" applyAlignment="1">
      <alignment horizontal="center"/>
    </xf>
    <xf numFmtId="0" fontId="3" fillId="0" borderId="9" xfId="0" applyFont="1" applyBorder="1" applyAlignment="1">
      <alignment horizontal="center"/>
    </xf>
    <xf numFmtId="0" fontId="30" fillId="0" borderId="9" xfId="0" applyFont="1" applyBorder="1" applyAlignment="1">
      <alignment horizontal="center"/>
    </xf>
    <xf numFmtId="0" fontId="3" fillId="0" borderId="10" xfId="0" applyFont="1" applyBorder="1" applyAlignment="1">
      <alignment horizontal="center"/>
    </xf>
    <xf numFmtId="0" fontId="0" fillId="0" borderId="0" xfId="0" applyBorder="1" applyAlignment="1">
      <alignment horizontal="center" wrapText="1"/>
    </xf>
    <xf numFmtId="0" fontId="12" fillId="0" borderId="0" xfId="0" applyFont="1" applyBorder="1" applyAlignment="1">
      <alignment horizontal="center" wrapText="1"/>
    </xf>
    <xf numFmtId="1" fontId="0" fillId="0" borderId="11" xfId="0" applyNumberFormat="1" applyBorder="1" applyAlignment="1">
      <alignment horizontal="right"/>
    </xf>
    <xf numFmtId="1" fontId="0" fillId="0" borderId="0" xfId="0" applyNumberFormat="1" applyBorder="1" applyAlignment="1">
      <alignment horizontal="right"/>
    </xf>
    <xf numFmtId="166" fontId="7" fillId="0" borderId="0" xfId="3" applyNumberFormat="1" applyFont="1" applyBorder="1"/>
    <xf numFmtId="0" fontId="3" fillId="0" borderId="0" xfId="0" applyFont="1" applyAlignment="1">
      <alignment horizontal="center" vertical="top"/>
    </xf>
    <xf numFmtId="0" fontId="0" fillId="0" borderId="0" xfId="0" applyAlignment="1">
      <alignment horizontal="center" vertical="top" wrapText="1"/>
    </xf>
    <xf numFmtId="0" fontId="0" fillId="0" borderId="0" xfId="0" applyAlignment="1">
      <alignment horizontal="center" vertical="top"/>
    </xf>
    <xf numFmtId="1" fontId="0" fillId="0" borderId="0" xfId="0" applyNumberFormat="1" applyBorder="1" applyAlignment="1">
      <alignment horizontal="center"/>
    </xf>
    <xf numFmtId="1" fontId="0" fillId="0" borderId="12" xfId="0" applyNumberFormat="1" applyBorder="1" applyAlignment="1">
      <alignment horizontal="right"/>
    </xf>
    <xf numFmtId="0" fontId="8" fillId="0" borderId="0" xfId="0" applyFont="1" applyAlignment="1">
      <alignment horizontal="left" vertical="center"/>
    </xf>
    <xf numFmtId="0" fontId="8" fillId="0" borderId="0" xfId="0" applyFont="1" applyAlignment="1">
      <alignment vertical="top"/>
    </xf>
    <xf numFmtId="0" fontId="8" fillId="0" borderId="0" xfId="0" applyFont="1" applyAlignment="1">
      <alignment wrapText="1"/>
    </xf>
    <xf numFmtId="0" fontId="8" fillId="0" borderId="0" xfId="0" applyFont="1" applyAlignment="1">
      <alignment horizontal="center"/>
    </xf>
    <xf numFmtId="1" fontId="26" fillId="0" borderId="0" xfId="3" applyNumberFormat="1" applyBorder="1" applyAlignment="1">
      <alignment horizontal="center"/>
    </xf>
    <xf numFmtId="0" fontId="8" fillId="0" borderId="8" xfId="3" applyFont="1" applyBorder="1" applyAlignment="1">
      <alignment horizontal="center" vertical="top" wrapText="1"/>
    </xf>
    <xf numFmtId="0" fontId="8" fillId="0" borderId="9" xfId="3" applyFont="1" applyBorder="1" applyAlignment="1">
      <alignment horizontal="center" vertical="top" wrapText="1"/>
    </xf>
    <xf numFmtId="1" fontId="0" fillId="0" borderId="14" xfId="0" applyNumberFormat="1" applyBorder="1"/>
    <xf numFmtId="0" fontId="40" fillId="0" borderId="0" xfId="0" applyFont="1"/>
    <xf numFmtId="0" fontId="40" fillId="0" borderId="0" xfId="0" applyFont="1" applyAlignment="1">
      <alignment horizontal="left" vertical="center"/>
    </xf>
    <xf numFmtId="0" fontId="40" fillId="15" borderId="0" xfId="0" applyFont="1" applyFill="1" applyAlignment="1">
      <alignment vertical="top"/>
    </xf>
    <xf numFmtId="0" fontId="40" fillId="15" borderId="0" xfId="0" applyFont="1" applyFill="1" applyAlignment="1">
      <alignment wrapText="1"/>
    </xf>
    <xf numFmtId="0" fontId="40" fillId="15" borderId="0" xfId="0" applyFont="1" applyFill="1"/>
    <xf numFmtId="0" fontId="40" fillId="15" borderId="0" xfId="0" applyFont="1" applyFill="1" applyAlignment="1">
      <alignment horizontal="center"/>
    </xf>
    <xf numFmtId="166" fontId="40" fillId="17" borderId="0" xfId="3" applyNumberFormat="1" applyFont="1" applyFill="1" applyBorder="1"/>
    <xf numFmtId="0" fontId="40" fillId="17" borderId="0" xfId="3" applyFont="1" applyFill="1" applyBorder="1"/>
    <xf numFmtId="166" fontId="8" fillId="18" borderId="0" xfId="3" applyNumberFormat="1" applyFont="1" applyFill="1" applyBorder="1"/>
    <xf numFmtId="0" fontId="40" fillId="0" borderId="0" xfId="0" applyFont="1" applyFill="1"/>
    <xf numFmtId="0" fontId="40" fillId="0" borderId="0" xfId="0" applyFont="1" applyFill="1" applyAlignment="1">
      <alignment horizontal="left" vertical="center"/>
    </xf>
    <xf numFmtId="0" fontId="40" fillId="0" borderId="0" xfId="0" applyFont="1" applyFill="1" applyAlignment="1">
      <alignment vertical="top"/>
    </xf>
    <xf numFmtId="0" fontId="40" fillId="0" borderId="0" xfId="0" applyFont="1" applyFill="1" applyAlignment="1">
      <alignment wrapText="1"/>
    </xf>
    <xf numFmtId="0" fontId="40" fillId="0" borderId="0" xfId="0" applyFont="1" applyFill="1" applyAlignment="1">
      <alignment horizontal="center"/>
    </xf>
    <xf numFmtId="166" fontId="40" fillId="0" borderId="0" xfId="3" applyNumberFormat="1" applyFont="1" applyFill="1" applyBorder="1"/>
    <xf numFmtId="0" fontId="40" fillId="0" borderId="0" xfId="3" applyFont="1" applyFill="1" applyBorder="1"/>
    <xf numFmtId="0" fontId="8" fillId="18" borderId="9" xfId="0" applyFont="1" applyFill="1" applyBorder="1" applyAlignment="1">
      <alignment vertical="top"/>
    </xf>
    <xf numFmtId="0" fontId="8" fillId="18" borderId="9" xfId="0" applyFont="1" applyFill="1" applyBorder="1" applyAlignment="1">
      <alignment wrapText="1"/>
    </xf>
    <xf numFmtId="0" fontId="8" fillId="18" borderId="9" xfId="0" applyFont="1" applyFill="1" applyBorder="1"/>
    <xf numFmtId="0" fontId="8" fillId="18" borderId="9" xfId="0" applyFont="1" applyFill="1" applyBorder="1" applyAlignment="1">
      <alignment horizontal="center"/>
    </xf>
    <xf numFmtId="166" fontId="8" fillId="18" borderId="9" xfId="3" applyNumberFormat="1" applyFont="1" applyFill="1" applyBorder="1"/>
    <xf numFmtId="0" fontId="8" fillId="18" borderId="10" xfId="3" applyFont="1" applyFill="1" applyBorder="1"/>
    <xf numFmtId="0" fontId="8" fillId="18" borderId="0" xfId="0" applyFont="1" applyFill="1" applyBorder="1" applyAlignment="1">
      <alignment vertical="top"/>
    </xf>
    <xf numFmtId="0" fontId="8" fillId="18" borderId="0" xfId="0" applyFont="1" applyFill="1" applyBorder="1" applyAlignment="1">
      <alignment wrapText="1"/>
    </xf>
    <xf numFmtId="0" fontId="8" fillId="18" borderId="0" xfId="0" applyFont="1" applyFill="1" applyBorder="1"/>
    <xf numFmtId="0" fontId="8" fillId="18" borderId="0" xfId="0" applyFont="1" applyFill="1" applyBorder="1" applyAlignment="1">
      <alignment horizontal="center"/>
    </xf>
    <xf numFmtId="0" fontId="8" fillId="18" borderId="12" xfId="3" applyFont="1" applyFill="1" applyBorder="1"/>
    <xf numFmtId="0" fontId="8" fillId="18" borderId="14" xfId="0" applyFont="1" applyFill="1" applyBorder="1"/>
    <xf numFmtId="0" fontId="8" fillId="18" borderId="14" xfId="0" applyFont="1" applyFill="1" applyBorder="1" applyAlignment="1">
      <alignment horizontal="center"/>
    </xf>
    <xf numFmtId="166" fontId="8" fillId="18" borderId="14" xfId="3" applyNumberFormat="1" applyFont="1" applyFill="1" applyBorder="1"/>
    <xf numFmtId="0" fontId="8" fillId="18" borderId="15" xfId="3" applyFont="1" applyFill="1" applyBorder="1"/>
    <xf numFmtId="1" fontId="0" fillId="0" borderId="0" xfId="0" applyNumberFormat="1" applyFill="1" applyBorder="1" applyAlignment="1">
      <alignment horizontal="right"/>
    </xf>
    <xf numFmtId="0" fontId="0" fillId="0" borderId="0" xfId="0" applyFill="1" applyBorder="1" applyAlignment="1">
      <alignment vertical="top"/>
    </xf>
    <xf numFmtId="0" fontId="0" fillId="0" borderId="0" xfId="0" applyFill="1" applyBorder="1" applyAlignment="1">
      <alignment horizontal="center"/>
    </xf>
    <xf numFmtId="0" fontId="3" fillId="0" borderId="0" xfId="0" applyFont="1" applyFill="1" applyBorder="1" applyAlignment="1">
      <alignment horizontal="center"/>
    </xf>
    <xf numFmtId="0" fontId="0" fillId="0" borderId="0" xfId="0" applyFill="1" applyBorder="1" applyAlignment="1">
      <alignment horizontal="right"/>
    </xf>
    <xf numFmtId="0" fontId="0" fillId="0" borderId="0" xfId="0" applyFill="1" applyBorder="1" applyAlignment="1">
      <alignment horizontal="left"/>
    </xf>
    <xf numFmtId="2" fontId="0" fillId="0" borderId="0" xfId="0" applyNumberFormat="1" applyFill="1" applyBorder="1" applyAlignment="1">
      <alignment horizontal="right" wrapText="1"/>
    </xf>
    <xf numFmtId="1" fontId="0" fillId="0" borderId="0" xfId="0" applyNumberFormat="1" applyFill="1" applyBorder="1" applyAlignment="1">
      <alignment horizontal="center"/>
    </xf>
    <xf numFmtId="1" fontId="8" fillId="13" borderId="15" xfId="0" applyNumberFormat="1" applyFont="1" applyFill="1" applyBorder="1" applyAlignment="1">
      <alignment horizontal="left"/>
    </xf>
    <xf numFmtId="164" fontId="26" fillId="0" borderId="0" xfId="3" applyNumberFormat="1" applyBorder="1"/>
    <xf numFmtId="2" fontId="26" fillId="0" borderId="11" xfId="3" applyNumberFormat="1" applyBorder="1"/>
    <xf numFmtId="2" fontId="26" fillId="0" borderId="0" xfId="3" applyNumberFormat="1" applyBorder="1"/>
    <xf numFmtId="2" fontId="26" fillId="0" borderId="12" xfId="3" applyNumberFormat="1" applyBorder="1"/>
    <xf numFmtId="2" fontId="26" fillId="0" borderId="13" xfId="3" applyNumberFormat="1" applyBorder="1"/>
    <xf numFmtId="2" fontId="26" fillId="0" borderId="14" xfId="3" applyNumberFormat="1" applyBorder="1"/>
    <xf numFmtId="2" fontId="26" fillId="0" borderId="15" xfId="3" applyNumberFormat="1" applyBorder="1"/>
    <xf numFmtId="2" fontId="8" fillId="12" borderId="0" xfId="0" applyNumberFormat="1" applyFont="1" applyFill="1" applyBorder="1"/>
    <xf numFmtId="0" fontId="42" fillId="0" borderId="8" xfId="0" applyFont="1" applyBorder="1"/>
    <xf numFmtId="0" fontId="42" fillId="0" borderId="9" xfId="0" applyFont="1" applyBorder="1"/>
    <xf numFmtId="0" fontId="42" fillId="0" borderId="10" xfId="0" applyFont="1" applyBorder="1"/>
    <xf numFmtId="0" fontId="42" fillId="0" borderId="8" xfId="0" applyFont="1" applyBorder="1" applyAlignment="1">
      <alignment horizontal="center"/>
    </xf>
    <xf numFmtId="0" fontId="42" fillId="0" borderId="0" xfId="0" applyFont="1" applyBorder="1"/>
    <xf numFmtId="0" fontId="42" fillId="0" borderId="10" xfId="0" applyFont="1" applyFill="1" applyBorder="1"/>
    <xf numFmtId="0" fontId="42" fillId="0" borderId="0" xfId="0" applyFont="1" applyFill="1" applyBorder="1"/>
    <xf numFmtId="0" fontId="42" fillId="0" borderId="8" xfId="0" applyFont="1" applyFill="1" applyBorder="1"/>
    <xf numFmtId="0" fontId="42" fillId="0" borderId="9" xfId="0" applyFont="1" applyFill="1" applyBorder="1"/>
    <xf numFmtId="0" fontId="8" fillId="0" borderId="11" xfId="0" applyFont="1" applyBorder="1" applyAlignment="1">
      <alignment horizontal="left"/>
    </xf>
    <xf numFmtId="0" fontId="8" fillId="0" borderId="13" xfId="0" applyFont="1" applyBorder="1" applyAlignment="1">
      <alignment horizontal="left"/>
    </xf>
    <xf numFmtId="164" fontId="0" fillId="0" borderId="0" xfId="0" applyNumberFormat="1" applyFill="1" applyBorder="1" applyAlignment="1">
      <alignment horizontal="center" vertical="center"/>
    </xf>
    <xf numFmtId="164" fontId="0" fillId="0" borderId="0" xfId="0" applyNumberFormat="1" applyFill="1" applyBorder="1" applyAlignment="1">
      <alignment horizontal="center" vertical="center" wrapText="1"/>
    </xf>
    <xf numFmtId="0" fontId="0" fillId="0" borderId="0" xfId="0" quotePrefix="1" applyAlignment="1">
      <alignment horizontal="center"/>
    </xf>
    <xf numFmtId="164" fontId="3" fillId="0" borderId="11" xfId="0" applyNumberFormat="1" applyFont="1" applyFill="1" applyBorder="1" applyAlignment="1">
      <alignment horizontal="center" vertical="center"/>
    </xf>
    <xf numFmtId="1" fontId="3" fillId="0" borderId="12" xfId="0" applyNumberFormat="1" applyFont="1" applyFill="1" applyBorder="1" applyAlignment="1">
      <alignment horizontal="center" vertical="center"/>
    </xf>
    <xf numFmtId="164" fontId="0" fillId="0" borderId="11" xfId="0" applyNumberFormat="1" applyFill="1" applyBorder="1" applyAlignment="1">
      <alignment horizontal="center" vertical="center"/>
    </xf>
    <xf numFmtId="1" fontId="0" fillId="0" borderId="12" xfId="0" applyNumberFormat="1" applyFill="1" applyBorder="1" applyAlignment="1">
      <alignment horizontal="center" vertical="center"/>
    </xf>
    <xf numFmtId="164" fontId="0" fillId="0" borderId="11" xfId="0" applyNumberFormat="1" applyFill="1" applyBorder="1" applyAlignment="1">
      <alignment horizontal="center" vertical="center" wrapText="1"/>
    </xf>
    <xf numFmtId="0" fontId="8" fillId="0" borderId="0" xfId="0" applyFont="1" applyFill="1" applyBorder="1" applyAlignment="1">
      <alignment horizontal="right"/>
    </xf>
    <xf numFmtId="164" fontId="8" fillId="0" borderId="11" xfId="0" applyNumberFormat="1" applyFont="1" applyFill="1" applyBorder="1" applyAlignment="1">
      <alignment horizontal="center" vertical="center" wrapText="1"/>
    </xf>
    <xf numFmtId="1" fontId="8" fillId="13" borderId="15" xfId="0" applyNumberFormat="1" applyFont="1" applyFill="1" applyBorder="1" applyAlignment="1">
      <alignment horizontal="center"/>
    </xf>
    <xf numFmtId="0" fontId="8" fillId="0" borderId="11" xfId="0" quotePrefix="1" applyFont="1" applyFill="1" applyBorder="1"/>
    <xf numFmtId="2" fontId="8" fillId="0" borderId="0" xfId="0" applyNumberFormat="1" applyFont="1" applyFill="1" applyBorder="1"/>
    <xf numFmtId="2" fontId="0" fillId="12" borderId="0" xfId="0" applyNumberFormat="1" applyFont="1" applyFill="1" applyBorder="1"/>
    <xf numFmtId="0" fontId="8" fillId="0" borderId="0" xfId="0" applyFont="1" applyFill="1" applyBorder="1" applyAlignment="1"/>
    <xf numFmtId="1" fontId="34" fillId="0" borderId="0" xfId="0" applyNumberFormat="1" applyFont="1" applyFill="1" applyBorder="1"/>
    <xf numFmtId="9" fontId="7" fillId="0" borderId="0" xfId="2" applyFont="1"/>
    <xf numFmtId="2" fontId="8" fillId="18" borderId="14" xfId="0" applyNumberFormat="1" applyFont="1" applyFill="1" applyBorder="1" applyAlignment="1">
      <alignment vertical="top"/>
    </xf>
    <xf numFmtId="2" fontId="8" fillId="18" borderId="14" xfId="0" applyNumberFormat="1" applyFont="1" applyFill="1" applyBorder="1" applyAlignment="1">
      <alignment wrapText="1"/>
    </xf>
    <xf numFmtId="1" fontId="0" fillId="7" borderId="0" xfId="0" applyNumberFormat="1" applyFill="1" applyBorder="1"/>
    <xf numFmtId="1" fontId="0" fillId="0" borderId="0" xfId="0" applyNumberFormat="1" applyFill="1" applyBorder="1"/>
    <xf numFmtId="1" fontId="0" fillId="0" borderId="9" xfId="0" applyNumberFormat="1" applyBorder="1"/>
    <xf numFmtId="164" fontId="0" fillId="0" borderId="9" xfId="0" applyNumberFormat="1" applyBorder="1"/>
    <xf numFmtId="164" fontId="0" fillId="0" borderId="10" xfId="0" applyNumberFormat="1" applyBorder="1"/>
    <xf numFmtId="164" fontId="0" fillId="0" borderId="12" xfId="0" applyNumberFormat="1" applyBorder="1"/>
    <xf numFmtId="164" fontId="0" fillId="0" borderId="15" xfId="0" applyNumberFormat="1" applyBorder="1"/>
    <xf numFmtId="1" fontId="0" fillId="18" borderId="0" xfId="0" applyNumberFormat="1" applyFill="1" applyBorder="1"/>
    <xf numFmtId="0" fontId="0" fillId="18" borderId="0" xfId="0" applyFill="1" applyBorder="1"/>
    <xf numFmtId="0" fontId="8" fillId="0" borderId="12" xfId="0" quotePrefix="1" applyFont="1" applyBorder="1"/>
    <xf numFmtId="0" fontId="8" fillId="0" borderId="0" xfId="0" quotePrefix="1" applyFont="1"/>
    <xf numFmtId="0" fontId="0" fillId="0" borderId="0" xfId="0" applyAlignment="1">
      <alignment horizontal="center"/>
    </xf>
    <xf numFmtId="0" fontId="21" fillId="0" borderId="0" xfId="0" applyFont="1" applyFill="1"/>
    <xf numFmtId="0" fontId="27" fillId="7" borderId="0" xfId="0" applyFont="1" applyFill="1" applyAlignment="1">
      <alignment vertical="center" textRotation="90"/>
    </xf>
    <xf numFmtId="0" fontId="8" fillId="13" borderId="0" xfId="0" applyFont="1" applyFill="1" applyAlignment="1">
      <alignment horizontal="center"/>
    </xf>
    <xf numFmtId="1" fontId="8" fillId="13" borderId="10" xfId="0" applyNumberFormat="1" applyFont="1" applyFill="1" applyBorder="1" applyAlignment="1">
      <alignment horizontal="center"/>
    </xf>
    <xf numFmtId="0" fontId="0" fillId="13" borderId="12" xfId="0" applyFont="1" applyFill="1" applyBorder="1" applyAlignment="1">
      <alignment horizontal="center"/>
    </xf>
    <xf numFmtId="1" fontId="12" fillId="13" borderId="12" xfId="0" applyNumberFormat="1" applyFont="1" applyFill="1" applyBorder="1" applyAlignment="1">
      <alignment horizontal="center"/>
    </xf>
    <xf numFmtId="1" fontId="8" fillId="13" borderId="12" xfId="0" applyNumberFormat="1" applyFont="1" applyFill="1" applyBorder="1" applyAlignment="1">
      <alignment horizontal="center"/>
    </xf>
    <xf numFmtId="0" fontId="8" fillId="13" borderId="15" xfId="0" applyFont="1" applyFill="1" applyBorder="1" applyAlignment="1">
      <alignment horizontal="center"/>
    </xf>
    <xf numFmtId="0" fontId="0" fillId="12" borderId="0" xfId="0" applyFont="1" applyFill="1"/>
    <xf numFmtId="0" fontId="0" fillId="12" borderId="0" xfId="0" applyFont="1" applyFill="1" applyBorder="1"/>
    <xf numFmtId="0" fontId="0" fillId="0" borderId="0" xfId="0" applyAlignment="1">
      <alignment horizontal="center"/>
    </xf>
    <xf numFmtId="0" fontId="26" fillId="0" borderId="0" xfId="3" applyBorder="1" applyAlignment="1">
      <alignment horizontal="right"/>
    </xf>
    <xf numFmtId="164" fontId="0" fillId="18" borderId="0" xfId="0" applyNumberFormat="1" applyFill="1" applyBorder="1"/>
    <xf numFmtId="0" fontId="3" fillId="18" borderId="0" xfId="0" applyFont="1" applyFill="1" applyBorder="1"/>
    <xf numFmtId="0" fontId="0" fillId="18" borderId="0" xfId="0" applyFont="1" applyFill="1" applyBorder="1"/>
    <xf numFmtId="0" fontId="0" fillId="0" borderId="16" xfId="0" applyBorder="1" applyAlignment="1">
      <alignment wrapText="1"/>
    </xf>
    <xf numFmtId="0" fontId="0" fillId="0" borderId="19" xfId="0" applyBorder="1" applyAlignment="1">
      <alignment wrapText="1"/>
    </xf>
    <xf numFmtId="0" fontId="0" fillId="0" borderId="13" xfId="0" applyBorder="1" applyAlignment="1">
      <alignment horizontal="center" wrapText="1"/>
    </xf>
    <xf numFmtId="0" fontId="0" fillId="0" borderId="14" xfId="0" applyBorder="1" applyAlignment="1">
      <alignment horizontal="center" wrapText="1"/>
    </xf>
    <xf numFmtId="0" fontId="12" fillId="0" borderId="14" xfId="0" applyFont="1" applyBorder="1" applyAlignment="1">
      <alignment horizontal="center" wrapText="1"/>
    </xf>
    <xf numFmtId="0" fontId="0" fillId="0" borderId="15" xfId="0" applyBorder="1" applyAlignment="1">
      <alignment horizontal="center" wrapText="1"/>
    </xf>
    <xf numFmtId="2" fontId="0" fillId="0" borderId="0" xfId="0" applyNumberFormat="1" applyAlignment="1">
      <alignment horizontal="center" wrapText="1"/>
    </xf>
    <xf numFmtId="2" fontId="12" fillId="0" borderId="0" xfId="0" applyNumberFormat="1" applyFont="1" applyAlignment="1">
      <alignment horizontal="center" wrapText="1"/>
    </xf>
    <xf numFmtId="1" fontId="0" fillId="0" borderId="0" xfId="0" applyNumberFormat="1" applyFill="1" applyBorder="1" applyAlignment="1">
      <alignment horizontal="center" vertical="center"/>
    </xf>
    <xf numFmtId="164" fontId="0" fillId="0" borderId="11" xfId="0" applyNumberFormat="1" applyBorder="1" applyAlignment="1">
      <alignment horizontal="center" vertical="center"/>
    </xf>
    <xf numFmtId="1" fontId="0" fillId="0" borderId="11" xfId="0" applyNumberFormat="1" applyBorder="1" applyAlignment="1">
      <alignment horizontal="center"/>
    </xf>
    <xf numFmtId="1" fontId="0" fillId="0" borderId="12" xfId="0" applyNumberFormat="1" applyBorder="1" applyAlignment="1">
      <alignment horizontal="center"/>
    </xf>
    <xf numFmtId="1" fontId="0" fillId="0" borderId="13" xfId="0" applyNumberFormat="1" applyBorder="1" applyAlignment="1">
      <alignment horizontal="center"/>
    </xf>
    <xf numFmtId="0" fontId="8" fillId="0" borderId="13" xfId="0" applyFont="1" applyBorder="1" applyAlignment="1">
      <alignment horizontal="center"/>
    </xf>
    <xf numFmtId="0" fontId="8" fillId="0" borderId="15" xfId="0" applyFont="1" applyBorder="1" applyAlignment="1">
      <alignment horizontal="center"/>
    </xf>
    <xf numFmtId="1" fontId="0" fillId="0" borderId="8" xfId="0" applyNumberFormat="1" applyBorder="1" applyAlignment="1">
      <alignment horizontal="center"/>
    </xf>
    <xf numFmtId="1" fontId="12" fillId="0" borderId="12" xfId="0" applyNumberFormat="1" applyFont="1" applyBorder="1" applyAlignment="1">
      <alignment horizontal="center"/>
    </xf>
    <xf numFmtId="0" fontId="34" fillId="0" borderId="0" xfId="0" applyFont="1" applyFill="1" applyBorder="1"/>
    <xf numFmtId="1" fontId="12" fillId="16" borderId="0" xfId="0" applyNumberFormat="1" applyFont="1" applyFill="1" applyBorder="1"/>
    <xf numFmtId="164" fontId="7" fillId="0" borderId="0" xfId="0" applyNumberFormat="1" applyFont="1" applyFill="1" applyBorder="1"/>
    <xf numFmtId="9" fontId="7" fillId="0" borderId="0" xfId="2" applyFont="1" applyFill="1" applyBorder="1"/>
    <xf numFmtId="0" fontId="34" fillId="0" borderId="0" xfId="0" applyFont="1"/>
    <xf numFmtId="0" fontId="0" fillId="0" borderId="0" xfId="0" applyAlignment="1">
      <alignment horizontal="center"/>
    </xf>
    <xf numFmtId="0" fontId="0" fillId="0" borderId="0" xfId="0" applyAlignment="1">
      <alignment horizontal="center"/>
    </xf>
    <xf numFmtId="0" fontId="0" fillId="0" borderId="8" xfId="0" applyBorder="1" applyAlignment="1">
      <alignment horizontal="center" wrapText="1"/>
    </xf>
    <xf numFmtId="0" fontId="0" fillId="0" borderId="9" xfId="0" applyBorder="1" applyAlignment="1">
      <alignment horizontal="center" wrapText="1"/>
    </xf>
    <xf numFmtId="0" fontId="12" fillId="0" borderId="9" xfId="0" applyFont="1" applyBorder="1" applyAlignment="1">
      <alignment horizontal="center" wrapText="1"/>
    </xf>
    <xf numFmtId="1" fontId="0" fillId="0" borderId="9" xfId="0" applyNumberFormat="1" applyBorder="1" applyAlignment="1">
      <alignment horizontal="right"/>
    </xf>
    <xf numFmtId="1" fontId="0" fillId="0" borderId="10" xfId="0" applyNumberFormat="1" applyBorder="1" applyAlignment="1">
      <alignment horizontal="right"/>
    </xf>
    <xf numFmtId="1" fontId="0" fillId="0" borderId="13" xfId="0" applyNumberFormat="1" applyBorder="1" applyAlignment="1">
      <alignment horizontal="right"/>
    </xf>
    <xf numFmtId="1" fontId="0" fillId="0" borderId="14" xfId="0" applyNumberFormat="1" applyBorder="1" applyAlignment="1">
      <alignment horizontal="right"/>
    </xf>
    <xf numFmtId="1" fontId="0" fillId="0" borderId="15" xfId="0" applyNumberFormat="1" applyBorder="1" applyAlignment="1">
      <alignment horizontal="right"/>
    </xf>
    <xf numFmtId="2" fontId="0" fillId="0" borderId="0" xfId="0" applyNumberFormat="1" applyBorder="1" applyAlignment="1">
      <alignment horizontal="center" wrapText="1"/>
    </xf>
    <xf numFmtId="0" fontId="0" fillId="0" borderId="0" xfId="0" applyBorder="1" applyAlignment="1">
      <alignment horizontal="right"/>
    </xf>
    <xf numFmtId="0" fontId="19" fillId="0" borderId="0" xfId="0" applyFont="1" applyBorder="1"/>
    <xf numFmtId="2" fontId="26" fillId="0" borderId="8" xfId="3" applyNumberFormat="1" applyBorder="1"/>
    <xf numFmtId="2" fontId="26" fillId="0" borderId="9" xfId="3" applyNumberFormat="1" applyBorder="1"/>
    <xf numFmtId="2" fontId="26" fillId="0" borderId="10" xfId="3" applyNumberFormat="1" applyBorder="1"/>
    <xf numFmtId="164" fontId="0" fillId="0" borderId="13" xfId="0" applyNumberFormat="1" applyFill="1" applyBorder="1" applyAlignment="1">
      <alignment horizontal="center" vertical="center" wrapText="1"/>
    </xf>
    <xf numFmtId="1" fontId="0" fillId="0" borderId="15" xfId="0" applyNumberFormat="1" applyFill="1" applyBorder="1" applyAlignment="1">
      <alignment horizontal="center" vertical="center"/>
    </xf>
    <xf numFmtId="0" fontId="26" fillId="0" borderId="8" xfId="3" applyBorder="1" applyAlignment="1">
      <alignment horizontal="center"/>
    </xf>
    <xf numFmtId="0" fontId="26" fillId="0" borderId="10" xfId="3" applyBorder="1" applyAlignment="1">
      <alignment horizontal="center"/>
    </xf>
    <xf numFmtId="0" fontId="26" fillId="0" borderId="11" xfId="3" applyBorder="1" applyAlignment="1">
      <alignment horizontal="center"/>
    </xf>
    <xf numFmtId="0" fontId="26" fillId="0" borderId="12" xfId="3" applyBorder="1" applyAlignment="1">
      <alignment horizontal="center"/>
    </xf>
    <xf numFmtId="1" fontId="26" fillId="0" borderId="12" xfId="3" applyNumberFormat="1" applyBorder="1" applyAlignment="1">
      <alignment horizontal="center"/>
    </xf>
    <xf numFmtId="1" fontId="0" fillId="0" borderId="10" xfId="0" applyNumberFormat="1" applyFill="1" applyBorder="1" applyAlignment="1">
      <alignment horizontal="center" vertical="center"/>
    </xf>
    <xf numFmtId="1" fontId="26" fillId="0" borderId="10" xfId="3" applyNumberFormat="1" applyBorder="1" applyAlignment="1">
      <alignment horizontal="center"/>
    </xf>
    <xf numFmtId="1" fontId="26" fillId="0" borderId="15" xfId="3" applyNumberFormat="1" applyBorder="1" applyAlignment="1">
      <alignment horizontal="center"/>
    </xf>
    <xf numFmtId="0" fontId="8" fillId="0" borderId="11" xfId="0" applyFont="1" applyBorder="1" applyAlignment="1">
      <alignment horizontal="center"/>
    </xf>
    <xf numFmtId="0" fontId="8" fillId="0" borderId="12" xfId="0" applyFont="1" applyBorder="1" applyAlignment="1">
      <alignment horizontal="center"/>
    </xf>
    <xf numFmtId="1" fontId="39" fillId="13" borderId="12" xfId="0" applyNumberFormat="1" applyFont="1" applyFill="1" applyBorder="1" applyAlignment="1">
      <alignment horizontal="center"/>
    </xf>
    <xf numFmtId="1" fontId="39" fillId="0" borderId="12" xfId="0" applyNumberFormat="1" applyFont="1" applyBorder="1" applyAlignment="1">
      <alignment horizontal="center"/>
    </xf>
    <xf numFmtId="1" fontId="39" fillId="0" borderId="15" xfId="0" applyNumberFormat="1" applyFont="1" applyBorder="1" applyAlignment="1">
      <alignment horizontal="center"/>
    </xf>
    <xf numFmtId="1" fontId="39" fillId="16" borderId="0" xfId="0" applyNumberFormat="1" applyFont="1" applyFill="1" applyBorder="1"/>
    <xf numFmtId="1" fontId="29" fillId="16" borderId="0" xfId="0" applyNumberFormat="1" applyFont="1" applyFill="1" applyBorder="1"/>
    <xf numFmtId="164" fontId="0" fillId="0" borderId="11" xfId="0" applyNumberFormat="1" applyBorder="1" applyAlignment="1">
      <alignment horizontal="center"/>
    </xf>
    <xf numFmtId="1" fontId="13" fillId="0" borderId="12" xfId="0" applyNumberFormat="1" applyFont="1" applyFill="1" applyBorder="1" applyAlignment="1">
      <alignment horizontal="center" vertical="center"/>
    </xf>
    <xf numFmtId="0" fontId="39" fillId="0" borderId="0" xfId="0" applyFont="1" applyAlignment="1"/>
    <xf numFmtId="2" fontId="39" fillId="0" borderId="0" xfId="0" applyNumberFormat="1" applyFont="1" applyBorder="1" applyAlignment="1">
      <alignment horizontal="center" wrapText="1"/>
    </xf>
    <xf numFmtId="0" fontId="39" fillId="0" borderId="0" xfId="0" applyFont="1" applyBorder="1" applyAlignment="1">
      <alignment horizontal="left"/>
    </xf>
    <xf numFmtId="10" fontId="0" fillId="0" borderId="0" xfId="0" applyNumberFormat="1"/>
    <xf numFmtId="1" fontId="0" fillId="0" borderId="0" xfId="0" applyNumberFormat="1" applyBorder="1" applyAlignment="1">
      <alignment horizontal="left"/>
    </xf>
    <xf numFmtId="0" fontId="0" fillId="0" borderId="0" xfId="0" applyBorder="1" applyAlignment="1">
      <alignment horizontal="left" wrapText="1"/>
    </xf>
    <xf numFmtId="0" fontId="0" fillId="0" borderId="0" xfId="0" quotePrefix="1" applyFill="1" applyBorder="1"/>
    <xf numFmtId="0" fontId="8" fillId="0" borderId="8" xfId="0" applyFont="1" applyBorder="1" applyAlignment="1">
      <alignment horizontal="center" vertical="center"/>
    </xf>
    <xf numFmtId="0" fontId="8" fillId="0" borderId="13" xfId="0" applyFont="1" applyBorder="1" applyAlignment="1">
      <alignment horizontal="center" vertical="center"/>
    </xf>
    <xf numFmtId="0" fontId="8" fillId="19" borderId="15" xfId="0" applyFont="1" applyFill="1" applyBorder="1"/>
    <xf numFmtId="0" fontId="3" fillId="13" borderId="0" xfId="0" applyFont="1" applyFill="1"/>
    <xf numFmtId="0" fontId="0" fillId="13" borderId="0" xfId="0" applyFill="1"/>
    <xf numFmtId="0" fontId="0" fillId="13" borderId="0" xfId="0" applyFill="1" applyAlignment="1">
      <alignment horizontal="left" wrapText="1"/>
    </xf>
    <xf numFmtId="0" fontId="19" fillId="0" borderId="14" xfId="0" applyFont="1" applyBorder="1"/>
    <xf numFmtId="164" fontId="13" fillId="0" borderId="0" xfId="0" applyNumberFormat="1" applyFont="1"/>
    <xf numFmtId="0" fontId="10" fillId="0" borderId="0" xfId="0" applyFont="1"/>
    <xf numFmtId="0" fontId="44" fillId="0" borderId="0" xfId="0" applyFont="1" applyAlignment="1">
      <alignment horizontal="left"/>
    </xf>
    <xf numFmtId="0" fontId="44" fillId="0" borderId="0" xfId="0" applyFont="1"/>
    <xf numFmtId="0" fontId="8" fillId="3" borderId="0" xfId="0" applyFont="1" applyFill="1"/>
    <xf numFmtId="0" fontId="45" fillId="0" borderId="0" xfId="0" applyFont="1"/>
    <xf numFmtId="0" fontId="8" fillId="4" borderId="10" xfId="0" applyFont="1" applyFill="1" applyBorder="1" applyAlignment="1">
      <alignment horizontal="left" vertical="top"/>
    </xf>
    <xf numFmtId="0" fontId="8" fillId="0" borderId="0" xfId="0" applyFont="1" applyFill="1" applyBorder="1" applyAlignment="1">
      <alignment horizontal="center" vertical="top"/>
    </xf>
    <xf numFmtId="0" fontId="8" fillId="11" borderId="10" xfId="0" applyFont="1" applyFill="1" applyBorder="1" applyAlignment="1">
      <alignment wrapText="1"/>
    </xf>
    <xf numFmtId="0" fontId="8" fillId="11" borderId="15" xfId="0" applyFont="1" applyFill="1" applyBorder="1"/>
    <xf numFmtId="9" fontId="8" fillId="11" borderId="12" xfId="0" applyNumberFormat="1" applyFont="1" applyFill="1" applyBorder="1"/>
    <xf numFmtId="9" fontId="8" fillId="12" borderId="18" xfId="0" applyNumberFormat="1" applyFont="1" applyFill="1" applyBorder="1"/>
    <xf numFmtId="0" fontId="8" fillId="11" borderId="12" xfId="0" applyFont="1" applyFill="1" applyBorder="1" applyAlignment="1">
      <alignment wrapText="1"/>
    </xf>
    <xf numFmtId="9" fontId="0" fillId="11" borderId="12" xfId="2" applyFont="1" applyFill="1" applyBorder="1"/>
    <xf numFmtId="0" fontId="0" fillId="4" borderId="12" xfId="0" applyFont="1" applyFill="1" applyBorder="1" applyAlignment="1">
      <alignment horizontal="right" vertical="top"/>
    </xf>
    <xf numFmtId="0" fontId="0" fillId="4" borderId="15" xfId="0" applyFont="1" applyFill="1" applyBorder="1" applyAlignment="1">
      <alignment horizontal="right" vertical="top"/>
    </xf>
    <xf numFmtId="0" fontId="10" fillId="0" borderId="0" xfId="0" applyFont="1" applyAlignment="1">
      <alignment horizontal="left"/>
    </xf>
    <xf numFmtId="0" fontId="8" fillId="17" borderId="0" xfId="0" applyFont="1" applyFill="1"/>
    <xf numFmtId="0" fontId="8" fillId="12" borderId="0" xfId="0" applyFont="1" applyFill="1"/>
    <xf numFmtId="0" fontId="8" fillId="0" borderId="0" xfId="0" applyFont="1" applyAlignment="1">
      <alignment horizontal="right"/>
    </xf>
    <xf numFmtId="167" fontId="0" fillId="0" borderId="0" xfId="2" applyNumberFormat="1" applyFont="1" applyBorder="1" applyAlignment="1">
      <alignment horizontal="center"/>
    </xf>
    <xf numFmtId="0" fontId="46" fillId="0" borderId="0" xfId="0" applyFont="1" applyAlignment="1">
      <alignment horizontal="center"/>
    </xf>
    <xf numFmtId="164" fontId="0" fillId="11" borderId="15" xfId="0" applyNumberFormat="1" applyFont="1" applyFill="1" applyBorder="1"/>
    <xf numFmtId="0" fontId="8" fillId="0" borderId="0" xfId="0" applyFont="1" applyFill="1" applyAlignment="1">
      <alignment horizontal="center"/>
    </xf>
    <xf numFmtId="2" fontId="8" fillId="0" borderId="0" xfId="0" applyNumberFormat="1" applyFont="1" applyFill="1" applyAlignment="1">
      <alignment horizontal="center"/>
    </xf>
    <xf numFmtId="0" fontId="0" fillId="0" borderId="0" xfId="0" applyFill="1" applyAlignment="1">
      <alignment horizontal="center"/>
    </xf>
    <xf numFmtId="2" fontId="19" fillId="0" borderId="0" xfId="0" applyNumberFormat="1" applyFont="1" applyFill="1" applyAlignment="1">
      <alignment horizontal="center"/>
    </xf>
    <xf numFmtId="0" fontId="36" fillId="0" borderId="0" xfId="0" applyFont="1" applyFill="1" applyAlignment="1">
      <alignment horizontal="center"/>
    </xf>
    <xf numFmtId="0" fontId="43" fillId="0" borderId="0" xfId="0" applyFont="1" applyFill="1" applyAlignment="1">
      <alignment horizontal="center"/>
    </xf>
    <xf numFmtId="0" fontId="8" fillId="13" borderId="8" xfId="0" applyFont="1" applyFill="1" applyBorder="1" applyAlignment="1"/>
    <xf numFmtId="0" fontId="8" fillId="13" borderId="11" xfId="0" applyFont="1" applyFill="1" applyBorder="1" applyAlignment="1"/>
    <xf numFmtId="0" fontId="8" fillId="13" borderId="11" xfId="0" applyFont="1" applyFill="1" applyBorder="1"/>
    <xf numFmtId="0" fontId="8" fillId="13" borderId="8" xfId="0" applyFont="1" applyFill="1" applyBorder="1"/>
    <xf numFmtId="0" fontId="0" fillId="13" borderId="0" xfId="0" applyFill="1" applyBorder="1"/>
    <xf numFmtId="0" fontId="0" fillId="13" borderId="12" xfId="0" applyFill="1" applyBorder="1" applyAlignment="1">
      <alignment horizontal="center"/>
    </xf>
    <xf numFmtId="0" fontId="8" fillId="0" borderId="10" xfId="3" applyFont="1" applyBorder="1" applyAlignment="1">
      <alignment horizontal="center" vertical="top" wrapText="1"/>
    </xf>
    <xf numFmtId="0" fontId="0" fillId="14" borderId="0" xfId="0" applyFill="1" applyBorder="1"/>
    <xf numFmtId="164" fontId="0" fillId="14" borderId="0" xfId="0" applyNumberFormat="1" applyFill="1" applyBorder="1"/>
    <xf numFmtId="164" fontId="31" fillId="14" borderId="0" xfId="0" applyNumberFormat="1" applyFont="1" applyFill="1" applyBorder="1"/>
    <xf numFmtId="0" fontId="0" fillId="20" borderId="0" xfId="0" applyFill="1" applyBorder="1"/>
    <xf numFmtId="1" fontId="0" fillId="20" borderId="0" xfId="0" applyNumberFormat="1" applyFill="1" applyBorder="1"/>
    <xf numFmtId="0" fontId="0" fillId="20" borderId="8" xfId="0" applyFill="1" applyBorder="1"/>
    <xf numFmtId="0" fontId="0" fillId="20" borderId="9" xfId="0" applyFill="1" applyBorder="1"/>
    <xf numFmtId="0" fontId="0" fillId="20" borderId="9" xfId="0" applyFill="1" applyBorder="1" applyAlignment="1">
      <alignment horizontal="center"/>
    </xf>
    <xf numFmtId="0" fontId="0" fillId="20" borderId="10" xfId="0" applyFill="1" applyBorder="1"/>
    <xf numFmtId="0" fontId="0" fillId="20" borderId="11" xfId="0" applyFill="1" applyBorder="1"/>
    <xf numFmtId="0" fontId="0" fillId="20" borderId="12" xfId="0" applyFill="1" applyBorder="1"/>
    <xf numFmtId="1" fontId="0" fillId="20" borderId="12" xfId="0" applyNumberFormat="1" applyFill="1" applyBorder="1"/>
    <xf numFmtId="0" fontId="0" fillId="20" borderId="13" xfId="0" applyFill="1" applyBorder="1"/>
    <xf numFmtId="1" fontId="0" fillId="20" borderId="14" xfId="0" applyNumberFormat="1" applyFill="1" applyBorder="1"/>
    <xf numFmtId="1" fontId="0" fillId="20" borderId="15" xfId="0" applyNumberFormat="1" applyFill="1" applyBorder="1"/>
    <xf numFmtId="0" fontId="0" fillId="20" borderId="14" xfId="0" applyFill="1" applyBorder="1"/>
    <xf numFmtId="0" fontId="0" fillId="20" borderId="15" xfId="0" applyFill="1" applyBorder="1"/>
    <xf numFmtId="0" fontId="0" fillId="16" borderId="8" xfId="0" applyFill="1" applyBorder="1"/>
    <xf numFmtId="0" fontId="0" fillId="16" borderId="9" xfId="0" applyFill="1" applyBorder="1" applyAlignment="1">
      <alignment horizontal="left"/>
    </xf>
    <xf numFmtId="0" fontId="0" fillId="16" borderId="9" xfId="0" applyFill="1" applyBorder="1" applyAlignment="1">
      <alignment horizontal="center"/>
    </xf>
    <xf numFmtId="0" fontId="0" fillId="16" borderId="9" xfId="0" applyFill="1" applyBorder="1"/>
    <xf numFmtId="0" fontId="0" fillId="16" borderId="10" xfId="0" applyFill="1" applyBorder="1"/>
    <xf numFmtId="0" fontId="0" fillId="16" borderId="11" xfId="0" applyFill="1" applyBorder="1"/>
    <xf numFmtId="0" fontId="0" fillId="16" borderId="12" xfId="0" applyFill="1" applyBorder="1"/>
    <xf numFmtId="0" fontId="0" fillId="16" borderId="13" xfId="0" applyFill="1" applyBorder="1"/>
    <xf numFmtId="0" fontId="0" fillId="16" borderId="14" xfId="0" applyFill="1" applyBorder="1"/>
    <xf numFmtId="0" fontId="0" fillId="16" borderId="15" xfId="0" applyFill="1" applyBorder="1"/>
    <xf numFmtId="0" fontId="8" fillId="0" borderId="17" xfId="0" applyFont="1" applyBorder="1"/>
    <xf numFmtId="1" fontId="0" fillId="16" borderId="9" xfId="0" applyNumberFormat="1" applyFill="1" applyBorder="1"/>
    <xf numFmtId="1" fontId="0" fillId="16" borderId="10" xfId="0" applyNumberFormat="1" applyFill="1" applyBorder="1"/>
    <xf numFmtId="1" fontId="39" fillId="16" borderId="12" xfId="0" applyNumberFormat="1" applyFont="1" applyFill="1" applyBorder="1"/>
    <xf numFmtId="1" fontId="0" fillId="16" borderId="12" xfId="0" applyNumberFormat="1" applyFill="1" applyBorder="1"/>
    <xf numFmtId="1" fontId="29" fillId="16" borderId="12" xfId="0" applyNumberFormat="1" applyFont="1" applyFill="1" applyBorder="1"/>
    <xf numFmtId="1" fontId="12" fillId="16" borderId="14" xfId="0" applyNumberFormat="1" applyFont="1" applyFill="1" applyBorder="1"/>
    <xf numFmtId="1" fontId="39" fillId="16" borderId="14" xfId="0" applyNumberFormat="1" applyFont="1" applyFill="1" applyBorder="1"/>
    <xf numFmtId="1" fontId="39" fillId="16" borderId="15" xfId="0" applyNumberFormat="1" applyFont="1" applyFill="1" applyBorder="1"/>
    <xf numFmtId="0" fontId="0" fillId="14" borderId="8" xfId="0" applyFill="1" applyBorder="1"/>
    <xf numFmtId="0" fontId="0" fillId="14" borderId="9" xfId="0" applyFill="1" applyBorder="1"/>
    <xf numFmtId="0" fontId="0" fillId="14" borderId="10" xfId="0" applyFill="1" applyBorder="1"/>
    <xf numFmtId="0" fontId="0" fillId="14" borderId="11" xfId="0" applyFill="1" applyBorder="1"/>
    <xf numFmtId="0" fontId="0" fillId="14" borderId="12" xfId="0" applyFill="1" applyBorder="1"/>
    <xf numFmtId="0" fontId="0" fillId="14" borderId="13" xfId="0" applyFill="1" applyBorder="1"/>
    <xf numFmtId="0" fontId="0" fillId="14" borderId="14" xfId="0" applyFill="1" applyBorder="1"/>
    <xf numFmtId="0" fontId="0" fillId="14" borderId="15" xfId="0" applyFill="1" applyBorder="1"/>
    <xf numFmtId="164" fontId="8" fillId="0" borderId="17" xfId="0" applyNumberFormat="1" applyFont="1" applyBorder="1"/>
    <xf numFmtId="164" fontId="0" fillId="14" borderId="9" xfId="0" applyNumberFormat="1" applyFill="1" applyBorder="1"/>
    <xf numFmtId="164" fontId="0" fillId="14" borderId="10" xfId="0" applyNumberFormat="1" applyFill="1" applyBorder="1"/>
    <xf numFmtId="164" fontId="0" fillId="14" borderId="12" xfId="0" applyNumberFormat="1" applyFill="1" applyBorder="1"/>
    <xf numFmtId="164" fontId="31" fillId="14" borderId="12" xfId="0" applyNumberFormat="1" applyFont="1" applyFill="1" applyBorder="1"/>
    <xf numFmtId="164" fontId="0" fillId="0" borderId="12" xfId="0" applyNumberFormat="1" applyFill="1" applyBorder="1"/>
    <xf numFmtId="164" fontId="0" fillId="14" borderId="14" xfId="0" applyNumberFormat="1" applyFill="1" applyBorder="1"/>
    <xf numFmtId="164" fontId="0" fillId="14" borderId="15" xfId="0" applyNumberFormat="1" applyFill="1" applyBorder="1"/>
    <xf numFmtId="0" fontId="0" fillId="7" borderId="8" xfId="0" applyFill="1" applyBorder="1"/>
    <xf numFmtId="0" fontId="0" fillId="7" borderId="9" xfId="0" applyFill="1" applyBorder="1"/>
    <xf numFmtId="0" fontId="0" fillId="7" borderId="10" xfId="0" applyFill="1" applyBorder="1"/>
    <xf numFmtId="0" fontId="0" fillId="7" borderId="11" xfId="0" applyFill="1" applyBorder="1"/>
    <xf numFmtId="0" fontId="0" fillId="7" borderId="12" xfId="0" applyFill="1" applyBorder="1"/>
    <xf numFmtId="0" fontId="0" fillId="7" borderId="13" xfId="0" applyFill="1" applyBorder="1"/>
    <xf numFmtId="0" fontId="0" fillId="7" borderId="14" xfId="0" applyFill="1" applyBorder="1"/>
    <xf numFmtId="0" fontId="0" fillId="7" borderId="15" xfId="0" applyFill="1" applyBorder="1"/>
    <xf numFmtId="1" fontId="0" fillId="7" borderId="9" xfId="0" applyNumberFormat="1" applyFill="1" applyBorder="1"/>
    <xf numFmtId="1" fontId="0" fillId="7" borderId="10" xfId="0" applyNumberFormat="1" applyFill="1" applyBorder="1"/>
    <xf numFmtId="1" fontId="0" fillId="7" borderId="12" xfId="0" applyNumberFormat="1" applyFill="1" applyBorder="1"/>
    <xf numFmtId="1" fontId="0" fillId="7" borderId="14" xfId="0" applyNumberFormat="1" applyFill="1" applyBorder="1"/>
    <xf numFmtId="1" fontId="0" fillId="7" borderId="15" xfId="0" applyNumberFormat="1" applyFill="1" applyBorder="1"/>
    <xf numFmtId="0" fontId="19" fillId="15" borderId="0" xfId="0" applyFont="1" applyFill="1" applyAlignment="1" applyProtection="1">
      <alignment horizontal="center"/>
      <protection locked="0"/>
    </xf>
    <xf numFmtId="2" fontId="19" fillId="15" borderId="0" xfId="0" applyNumberFormat="1" applyFont="1" applyFill="1" applyAlignment="1" applyProtection="1">
      <alignment horizontal="center"/>
      <protection locked="0"/>
    </xf>
    <xf numFmtId="0" fontId="19" fillId="15" borderId="0" xfId="0" quotePrefix="1" applyFont="1" applyFill="1" applyAlignment="1" applyProtection="1">
      <alignment horizontal="center"/>
      <protection locked="0"/>
    </xf>
    <xf numFmtId="0" fontId="19" fillId="15" borderId="12" xfId="0" applyFont="1" applyFill="1" applyBorder="1" applyProtection="1">
      <protection locked="0"/>
    </xf>
    <xf numFmtId="0" fontId="19" fillId="15" borderId="15" xfId="0" applyFont="1" applyFill="1" applyBorder="1" applyProtection="1">
      <protection locked="0"/>
    </xf>
    <xf numFmtId="0" fontId="47" fillId="15" borderId="19" xfId="1" applyFont="1" applyFill="1" applyBorder="1" applyProtection="1">
      <protection locked="0"/>
    </xf>
    <xf numFmtId="9" fontId="19" fillId="15" borderId="18" xfId="0" applyNumberFormat="1" applyFont="1" applyFill="1" applyBorder="1" applyProtection="1">
      <protection locked="0"/>
    </xf>
    <xf numFmtId="9" fontId="19" fillId="15" borderId="12" xfId="2" applyFont="1" applyFill="1" applyBorder="1" applyProtection="1">
      <protection locked="0"/>
    </xf>
    <xf numFmtId="0" fontId="33" fillId="15" borderId="0" xfId="0" applyFont="1" applyFill="1" applyProtection="1">
      <protection locked="0"/>
    </xf>
    <xf numFmtId="0" fontId="19" fillId="15" borderId="8" xfId="0" applyFont="1" applyFill="1" applyBorder="1" applyProtection="1">
      <protection locked="0"/>
    </xf>
    <xf numFmtId="0" fontId="19" fillId="15" borderId="13" xfId="0" applyFont="1" applyFill="1" applyBorder="1" applyProtection="1">
      <protection locked="0"/>
    </xf>
    <xf numFmtId="0" fontId="19" fillId="15" borderId="11" xfId="0" applyFont="1" applyFill="1" applyBorder="1" applyProtection="1">
      <protection locked="0"/>
    </xf>
    <xf numFmtId="0" fontId="19" fillId="15" borderId="9" xfId="0" applyFont="1" applyFill="1" applyBorder="1" applyProtection="1">
      <protection locked="0"/>
    </xf>
    <xf numFmtId="0" fontId="19" fillId="15" borderId="0" xfId="0" applyFont="1" applyFill="1" applyBorder="1" applyProtection="1">
      <protection locked="0"/>
    </xf>
    <xf numFmtId="0" fontId="19" fillId="15" borderId="14" xfId="0" applyFont="1" applyFill="1" applyBorder="1" applyProtection="1">
      <protection locked="0"/>
    </xf>
    <xf numFmtId="0" fontId="19" fillId="15" borderId="23" xfId="0" applyFont="1" applyFill="1" applyBorder="1" applyProtection="1">
      <protection locked="0"/>
    </xf>
    <xf numFmtId="0" fontId="33" fillId="15" borderId="0" xfId="0" applyFont="1" applyFill="1" applyAlignment="1" applyProtection="1">
      <alignment horizontal="left"/>
      <protection locked="0"/>
    </xf>
    <xf numFmtId="0" fontId="19" fillId="15" borderId="10" xfId="0" applyFont="1" applyFill="1" applyBorder="1" applyProtection="1">
      <protection locked="0"/>
    </xf>
    <xf numFmtId="2" fontId="19" fillId="15" borderId="0" xfId="0" applyNumberFormat="1" applyFont="1" applyFill="1" applyBorder="1" applyAlignment="1" applyProtection="1">
      <alignment vertical="top"/>
      <protection locked="0"/>
    </xf>
    <xf numFmtId="2" fontId="19" fillId="15" borderId="0" xfId="0" applyNumberFormat="1" applyFont="1" applyFill="1" applyBorder="1" applyAlignment="1" applyProtection="1">
      <alignment wrapText="1"/>
      <protection locked="0"/>
    </xf>
    <xf numFmtId="1" fontId="19" fillId="15" borderId="0" xfId="0" applyNumberFormat="1" applyFont="1" applyFill="1" applyBorder="1" applyProtection="1">
      <protection locked="0"/>
    </xf>
    <xf numFmtId="1" fontId="19" fillId="15" borderId="0" xfId="0" applyNumberFormat="1" applyFont="1" applyFill="1" applyBorder="1" applyAlignment="1" applyProtection="1">
      <alignment horizontal="center"/>
      <protection locked="0"/>
    </xf>
    <xf numFmtId="1" fontId="19" fillId="15" borderId="0" xfId="3" applyNumberFormat="1" applyFont="1" applyFill="1" applyBorder="1" applyProtection="1">
      <protection locked="0"/>
    </xf>
    <xf numFmtId="1" fontId="19" fillId="15" borderId="12" xfId="3" applyNumberFormat="1" applyFont="1" applyFill="1" applyBorder="1" applyProtection="1">
      <protection locked="0"/>
    </xf>
    <xf numFmtId="166" fontId="19" fillId="15" borderId="13" xfId="3" applyNumberFormat="1" applyFont="1" applyFill="1" applyBorder="1" applyAlignment="1" applyProtection="1">
      <alignment horizontal="center"/>
      <protection locked="0"/>
    </xf>
    <xf numFmtId="166" fontId="19" fillId="15" borderId="14" xfId="3" applyNumberFormat="1" applyFont="1" applyFill="1" applyBorder="1" applyAlignment="1" applyProtection="1">
      <alignment horizontal="center"/>
      <protection locked="0"/>
    </xf>
    <xf numFmtId="0" fontId="19" fillId="15" borderId="15" xfId="3" applyFont="1" applyFill="1" applyBorder="1" applyAlignment="1" applyProtection="1">
      <alignment horizontal="center"/>
      <protection locked="0"/>
    </xf>
    <xf numFmtId="0" fontId="19" fillId="15" borderId="23" xfId="0" applyFont="1" applyFill="1" applyBorder="1" applyAlignment="1" applyProtection="1">
      <alignment horizontal="right"/>
      <protection locked="0"/>
    </xf>
    <xf numFmtId="0" fontId="19" fillId="15" borderId="22" xfId="0" applyFont="1" applyFill="1" applyBorder="1" applyAlignment="1" applyProtection="1">
      <alignment horizontal="right"/>
      <protection locked="0"/>
    </xf>
    <xf numFmtId="0" fontId="19" fillId="15" borderId="24" xfId="0" applyFont="1" applyFill="1" applyBorder="1" applyAlignment="1" applyProtection="1">
      <alignment horizontal="right"/>
      <protection locked="0"/>
    </xf>
    <xf numFmtId="0" fontId="19" fillId="15" borderId="0" xfId="0" applyFont="1" applyFill="1" applyBorder="1" applyAlignment="1" applyProtection="1">
      <alignment horizontal="right"/>
      <protection locked="0"/>
    </xf>
    <xf numFmtId="164" fontId="19" fillId="15" borderId="9" xfId="0" applyNumberFormat="1" applyFont="1" applyFill="1" applyBorder="1" applyAlignment="1" applyProtection="1">
      <alignment horizontal="center"/>
      <protection locked="0"/>
    </xf>
    <xf numFmtId="164" fontId="19" fillId="15" borderId="0" xfId="0" applyNumberFormat="1" applyFont="1" applyFill="1" applyBorder="1" applyAlignment="1" applyProtection="1">
      <alignment horizontal="center" vertical="center"/>
      <protection locked="0"/>
    </xf>
    <xf numFmtId="164" fontId="33" fillId="15" borderId="0" xfId="0" applyNumberFormat="1" applyFont="1" applyFill="1" applyBorder="1" applyAlignment="1" applyProtection="1">
      <alignment horizontal="center" vertical="center"/>
      <protection locked="0"/>
    </xf>
    <xf numFmtId="164" fontId="19" fillId="15" borderId="0" xfId="0" applyNumberFormat="1" applyFont="1" applyFill="1" applyBorder="1" applyAlignment="1" applyProtection="1">
      <alignment horizontal="center" vertical="center" wrapText="1"/>
      <protection locked="0"/>
    </xf>
    <xf numFmtId="164" fontId="19" fillId="15" borderId="14" xfId="0" applyNumberFormat="1" applyFont="1" applyFill="1" applyBorder="1" applyAlignment="1" applyProtection="1">
      <alignment horizontal="center" vertical="center"/>
      <protection locked="0"/>
    </xf>
    <xf numFmtId="164" fontId="19" fillId="15" borderId="0" xfId="0" applyNumberFormat="1" applyFont="1" applyFill="1" applyBorder="1" applyAlignment="1" applyProtection="1">
      <alignment horizontal="center"/>
      <protection locked="0"/>
    </xf>
    <xf numFmtId="164" fontId="19" fillId="15" borderId="14" xfId="0" applyNumberFormat="1" applyFont="1" applyFill="1" applyBorder="1" applyAlignment="1" applyProtection="1">
      <alignment horizontal="center"/>
      <protection locked="0"/>
    </xf>
    <xf numFmtId="1" fontId="19" fillId="15" borderId="8" xfId="3" applyNumberFormat="1" applyFont="1" applyFill="1" applyBorder="1" applyAlignment="1" applyProtection="1">
      <alignment horizontal="center"/>
      <protection locked="0"/>
    </xf>
    <xf numFmtId="1" fontId="19" fillId="15" borderId="11" xfId="3" applyNumberFormat="1" applyFont="1" applyFill="1" applyBorder="1" applyAlignment="1" applyProtection="1">
      <alignment horizontal="center"/>
      <protection locked="0"/>
    </xf>
    <xf numFmtId="0" fontId="19" fillId="15" borderId="11" xfId="0" applyFont="1" applyFill="1" applyBorder="1" applyAlignment="1" applyProtection="1">
      <alignment horizontal="center"/>
      <protection locked="0"/>
    </xf>
    <xf numFmtId="1" fontId="19" fillId="15" borderId="13" xfId="3" applyNumberFormat="1" applyFont="1" applyFill="1" applyBorder="1" applyAlignment="1" applyProtection="1">
      <alignment horizontal="center"/>
      <protection locked="0"/>
    </xf>
    <xf numFmtId="165" fontId="19" fillId="15" borderId="16" xfId="0" applyNumberFormat="1" applyFont="1" applyFill="1" applyBorder="1" applyProtection="1">
      <protection locked="0"/>
    </xf>
    <xf numFmtId="9" fontId="19" fillId="15" borderId="16" xfId="2" applyFont="1" applyFill="1" applyBorder="1" applyProtection="1">
      <protection locked="0"/>
    </xf>
    <xf numFmtId="0" fontId="0" fillId="13" borderId="0" xfId="0" applyFill="1" applyAlignment="1">
      <alignment horizontal="left" vertical="top" wrapText="1"/>
    </xf>
    <xf numFmtId="0" fontId="0" fillId="0" borderId="25"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3" fillId="16" borderId="0" xfId="0" applyFont="1" applyFill="1" applyAlignment="1">
      <alignment horizontal="center" vertical="center"/>
    </xf>
    <xf numFmtId="0" fontId="3" fillId="15" borderId="0" xfId="0" applyFont="1" applyFill="1" applyAlignment="1">
      <alignment horizontal="center" vertical="center"/>
    </xf>
    <xf numFmtId="0" fontId="3" fillId="9" borderId="0" xfId="0" applyFont="1" applyFill="1" applyAlignment="1">
      <alignment horizontal="center" vertical="center"/>
    </xf>
    <xf numFmtId="0" fontId="3" fillId="7" borderId="0" xfId="0" applyFont="1" applyFill="1" applyAlignment="1">
      <alignment horizontal="center" vertical="center"/>
    </xf>
    <xf numFmtId="0" fontId="3" fillId="10" borderId="0" xfId="0" applyFont="1" applyFill="1" applyAlignment="1">
      <alignment horizontal="center" vertical="center"/>
    </xf>
    <xf numFmtId="0" fontId="4" fillId="0" borderId="0" xfId="0" applyFont="1" applyAlignment="1">
      <alignment horizontal="center"/>
    </xf>
    <xf numFmtId="0" fontId="45" fillId="5" borderId="0" xfId="0" applyFont="1" applyFill="1" applyAlignment="1">
      <alignment horizontal="center"/>
    </xf>
    <xf numFmtId="0" fontId="44" fillId="4" borderId="0" xfId="0" applyFont="1" applyFill="1" applyAlignment="1">
      <alignment horizontal="center"/>
    </xf>
    <xf numFmtId="1" fontId="8" fillId="13" borderId="8" xfId="0" applyNumberFormat="1" applyFont="1" applyFill="1" applyBorder="1" applyAlignment="1">
      <alignment horizontal="center"/>
    </xf>
    <xf numFmtId="1" fontId="8" fillId="13" borderId="9" xfId="0" applyNumberFormat="1" applyFont="1" applyFill="1" applyBorder="1" applyAlignment="1">
      <alignment horizontal="center"/>
    </xf>
    <xf numFmtId="0" fontId="24" fillId="0" borderId="0" xfId="0" applyFont="1" applyAlignment="1">
      <alignment horizontal="right" wrapText="1"/>
    </xf>
  </cellXfs>
  <cellStyles count="4">
    <cellStyle name="Linked Cell" xfId="1" builtinId="24" customBuiltin="1"/>
    <cellStyle name="Normal" xfId="0" builtinId="0"/>
    <cellStyle name="Normal 2" xfId="3" xr:uid="{CDCD0291-3946-477A-A439-3E74D78C90BF}"/>
    <cellStyle name="Percent" xfId="2" builtinId="5"/>
  </cellStyles>
  <dxfs count="3">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88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per animal, tung race</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Summary!$Q$39:$Q$47</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Summary!$R$39:$R$47</c:f>
              <c:numCache>
                <c:formatCode>0</c:formatCode>
                <c:ptCount val="9"/>
                <c:pt idx="0">
                  <c:v>0</c:v>
                </c:pt>
                <c:pt idx="1">
                  <c:v>36.057365649813555</c:v>
                </c:pt>
                <c:pt idx="2">
                  <c:v>44.246142616773021</c:v>
                </c:pt>
                <c:pt idx="3">
                  <c:v>44.246142616773021</c:v>
                </c:pt>
                <c:pt idx="4">
                  <c:v>37.923556308246582</c:v>
                </c:pt>
                <c:pt idx="5">
                  <c:v>156.43666336200249</c:v>
                </c:pt>
                <c:pt idx="6">
                  <c:v>0</c:v>
                </c:pt>
                <c:pt idx="7">
                  <c:v>0</c:v>
                </c:pt>
                <c:pt idx="8">
                  <c:v>0</c:v>
                </c:pt>
              </c:numCache>
            </c:numRef>
          </c:val>
          <c:extLst>
            <c:ext xmlns:c16="http://schemas.microsoft.com/office/drawing/2014/chart" uri="{C3380CC4-5D6E-409C-BE32-E72D297353CC}">
              <c16:uniqueId val="{00000000-8912-49A1-B1F1-8A197184EDD5}"/>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Summary!$Q$39:$Q$47</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Summary!$S$39:$S$47</c:f>
              <c:numCache>
                <c:formatCode>0</c:formatCode>
                <c:ptCount val="9"/>
                <c:pt idx="0">
                  <c:v>444.06072526658772</c:v>
                </c:pt>
                <c:pt idx="1">
                  <c:v>1093.0713074607384</c:v>
                </c:pt>
                <c:pt idx="2">
                  <c:v>1128.6069827079491</c:v>
                </c:pt>
                <c:pt idx="3">
                  <c:v>1131.9306253448797</c:v>
                </c:pt>
                <c:pt idx="4">
                  <c:v>1698.7793027379009</c:v>
                </c:pt>
                <c:pt idx="5">
                  <c:v>6154.16241997424</c:v>
                </c:pt>
                <c:pt idx="6">
                  <c:v>319.8296099974956</c:v>
                </c:pt>
                <c:pt idx="7">
                  <c:v>1140.8720706586716</c:v>
                </c:pt>
                <c:pt idx="8">
                  <c:v>1250.2131633394356</c:v>
                </c:pt>
              </c:numCache>
            </c:numRef>
          </c:val>
          <c:extLst>
            <c:ext xmlns:c16="http://schemas.microsoft.com/office/drawing/2014/chart" uri="{C3380CC4-5D6E-409C-BE32-E72D297353CC}">
              <c16:uniqueId val="{00000001-8912-49A1-B1F1-8A197184EDD5}"/>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Summary!$Q$39:$Q$47</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Summary!$T$39:$T$47</c:f>
              <c:numCache>
                <c:formatCode>0</c:formatCode>
                <c:ptCount val="9"/>
                <c:pt idx="0">
                  <c:v>0</c:v>
                </c:pt>
                <c:pt idx="1">
                  <c:v>1623.2504310880265</c:v>
                </c:pt>
                <c:pt idx="2">
                  <c:v>3037.9541304131103</c:v>
                </c:pt>
                <c:pt idx="3">
                  <c:v>2881.0154400388328</c:v>
                </c:pt>
                <c:pt idx="4">
                  <c:v>4904.0906036520291</c:v>
                </c:pt>
                <c:pt idx="5">
                  <c:v>17545.888832883698</c:v>
                </c:pt>
                <c:pt idx="6">
                  <c:v>0</c:v>
                </c:pt>
                <c:pt idx="7">
                  <c:v>689.11498533050462</c:v>
                </c:pt>
                <c:pt idx="8">
                  <c:v>1097.5563161855455</c:v>
                </c:pt>
              </c:numCache>
            </c:numRef>
          </c:val>
          <c:extLst>
            <c:ext xmlns:c16="http://schemas.microsoft.com/office/drawing/2014/chart" uri="{C3380CC4-5D6E-409C-BE32-E72D297353CC}">
              <c16:uniqueId val="{00000002-8912-49A1-B1F1-8A197184EDD5}"/>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Summary!$Q$39:$Q$47</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Summary!$U$39:$U$47</c:f>
              <c:numCache>
                <c:formatCode>0</c:formatCode>
                <c:ptCount val="9"/>
                <c:pt idx="0">
                  <c:v>359.80033632604847</c:v>
                </c:pt>
                <c:pt idx="1">
                  <c:v>1704.0324137803395</c:v>
                </c:pt>
                <c:pt idx="2">
                  <c:v>2513.8655740748218</c:v>
                </c:pt>
                <c:pt idx="3">
                  <c:v>2876.522918972697</c:v>
                </c:pt>
                <c:pt idx="4">
                  <c:v>3283.902444312153</c:v>
                </c:pt>
                <c:pt idx="5">
                  <c:v>12228.743638498276</c:v>
                </c:pt>
                <c:pt idx="6">
                  <c:v>359.80033632604847</c:v>
                </c:pt>
                <c:pt idx="7">
                  <c:v>1133.4534186208568</c:v>
                </c:pt>
                <c:pt idx="8">
                  <c:v>1415.2938946786098</c:v>
                </c:pt>
              </c:numCache>
            </c:numRef>
          </c:val>
          <c:extLst>
            <c:ext xmlns:c16="http://schemas.microsoft.com/office/drawing/2014/chart" uri="{C3380CC4-5D6E-409C-BE32-E72D297353CC}">
              <c16:uniqueId val="{00000003-8912-49A1-B1F1-8A197184EDD5}"/>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3">
        <a:lumMod val="20000"/>
        <a:lumOff val="8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per animal, jersey</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Summary!$Q$49:$Q$57</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Summary!$R$49:$R$57</c:f>
              <c:numCache>
                <c:formatCode>0</c:formatCode>
                <c:ptCount val="9"/>
                <c:pt idx="0">
                  <c:v>0</c:v>
                </c:pt>
                <c:pt idx="1">
                  <c:v>27.17809139430614</c:v>
                </c:pt>
                <c:pt idx="2">
                  <c:v>34.041985193356709</c:v>
                </c:pt>
                <c:pt idx="3">
                  <c:v>32.877574638160631</c:v>
                </c:pt>
                <c:pt idx="4">
                  <c:v>31.271189902438351</c:v>
                </c:pt>
                <c:pt idx="5">
                  <c:v>130.20089414335467</c:v>
                </c:pt>
                <c:pt idx="6">
                  <c:v>0</c:v>
                </c:pt>
                <c:pt idx="7">
                  <c:v>0</c:v>
                </c:pt>
                <c:pt idx="8">
                  <c:v>0</c:v>
                </c:pt>
              </c:numCache>
            </c:numRef>
          </c:val>
          <c:extLst>
            <c:ext xmlns:c16="http://schemas.microsoft.com/office/drawing/2014/chart" uri="{C3380CC4-5D6E-409C-BE32-E72D297353CC}">
              <c16:uniqueId val="{00000000-2373-4841-8952-259A95284DBC}"/>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Summary!$Q$49:$Q$57</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Summary!$S$49:$S$57</c:f>
              <c:numCache>
                <c:formatCode>0</c:formatCode>
                <c:ptCount val="9"/>
                <c:pt idx="0">
                  <c:v>430.10354627083728</c:v>
                </c:pt>
                <c:pt idx="1">
                  <c:v>838.99420853718209</c:v>
                </c:pt>
                <c:pt idx="2">
                  <c:v>868.40630232654075</c:v>
                </c:pt>
                <c:pt idx="3">
                  <c:v>866.07669192117339</c:v>
                </c:pt>
                <c:pt idx="4">
                  <c:v>1409.084660533252</c:v>
                </c:pt>
                <c:pt idx="5">
                  <c:v>5201.3416334662916</c:v>
                </c:pt>
                <c:pt idx="6">
                  <c:v>271.68068460506169</c:v>
                </c:pt>
                <c:pt idx="7">
                  <c:v>1001.9514148866531</c:v>
                </c:pt>
                <c:pt idx="8">
                  <c:v>1082.7173762512516</c:v>
                </c:pt>
              </c:numCache>
            </c:numRef>
          </c:val>
          <c:extLst>
            <c:ext xmlns:c16="http://schemas.microsoft.com/office/drawing/2014/chart" uri="{C3380CC4-5D6E-409C-BE32-E72D297353CC}">
              <c16:uniqueId val="{00000001-2373-4841-8952-259A95284DBC}"/>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Summary!$Q$49:$Q$57</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Summary!$T$49:$T$57</c:f>
              <c:numCache>
                <c:formatCode>0</c:formatCode>
                <c:ptCount val="9"/>
                <c:pt idx="0">
                  <c:v>0</c:v>
                </c:pt>
                <c:pt idx="1">
                  <c:v>1093.2655177969843</c:v>
                </c:pt>
                <c:pt idx="2">
                  <c:v>2393.8088350407938</c:v>
                </c:pt>
                <c:pt idx="3">
                  <c:v>2192.1953814126969</c:v>
                </c:pt>
                <c:pt idx="4">
                  <c:v>4235.3664407469632</c:v>
                </c:pt>
                <c:pt idx="5">
                  <c:v>15417.56064033771</c:v>
                </c:pt>
                <c:pt idx="6">
                  <c:v>0</c:v>
                </c:pt>
                <c:pt idx="7">
                  <c:v>517.27518020372031</c:v>
                </c:pt>
                <c:pt idx="8">
                  <c:v>1362.0466481832118</c:v>
                </c:pt>
              </c:numCache>
            </c:numRef>
          </c:val>
          <c:extLst>
            <c:ext xmlns:c16="http://schemas.microsoft.com/office/drawing/2014/chart" uri="{C3380CC4-5D6E-409C-BE32-E72D297353CC}">
              <c16:uniqueId val="{00000002-2373-4841-8952-259A95284DBC}"/>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Summary!$Q$49:$Q$57</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Summary!$U$49:$U$57</c:f>
              <c:numCache>
                <c:formatCode>0</c:formatCode>
                <c:ptCount val="9"/>
                <c:pt idx="0">
                  <c:v>225.67897657706087</c:v>
                </c:pt>
                <c:pt idx="1">
                  <c:v>1175.4097159569865</c:v>
                </c:pt>
                <c:pt idx="2">
                  <c:v>1925.4171185012269</c:v>
                </c:pt>
                <c:pt idx="3">
                  <c:v>1830.3279938426879</c:v>
                </c:pt>
                <c:pt idx="4">
                  <c:v>2857.0799629718549</c:v>
                </c:pt>
                <c:pt idx="5">
                  <c:v>10710.938004639684</c:v>
                </c:pt>
                <c:pt idx="6">
                  <c:v>225.67897657706087</c:v>
                </c:pt>
                <c:pt idx="7">
                  <c:v>850.12389358616929</c:v>
                </c:pt>
                <c:pt idx="8">
                  <c:v>1240.0094197534859</c:v>
                </c:pt>
              </c:numCache>
            </c:numRef>
          </c:val>
          <c:extLst>
            <c:ext xmlns:c16="http://schemas.microsoft.com/office/drawing/2014/chart" uri="{C3380CC4-5D6E-409C-BE32-E72D297353CC}">
              <c16:uniqueId val="{00000003-2373-4841-8952-259A95284DBC}"/>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max val="40000"/>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3">
        <a:lumMod val="20000"/>
        <a:lumOff val="8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per kg slaughtered meat, tung race</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Summary!$Q$63:$Q$71</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Summary!$R$63:$R$71</c:f>
              <c:numCache>
                <c:formatCode>0.0</c:formatCode>
                <c:ptCount val="9"/>
                <c:pt idx="0">
                  <c:v>0</c:v>
                </c:pt>
                <c:pt idx="1">
                  <c:v>0.17170174118958836</c:v>
                </c:pt>
                <c:pt idx="2">
                  <c:v>0.15257290557507938</c:v>
                </c:pt>
                <c:pt idx="3">
                  <c:v>0.14699715155074095</c:v>
                </c:pt>
                <c:pt idx="4">
                  <c:v>1.4093610272497956E-2</c:v>
                </c:pt>
                <c:pt idx="5">
                  <c:v>5.8136883256241251E-2</c:v>
                </c:pt>
                <c:pt idx="6">
                  <c:v>0</c:v>
                </c:pt>
                <c:pt idx="7">
                  <c:v>0</c:v>
                </c:pt>
                <c:pt idx="8">
                  <c:v>0</c:v>
                </c:pt>
              </c:numCache>
            </c:numRef>
          </c:val>
          <c:extLst>
            <c:ext xmlns:c16="http://schemas.microsoft.com/office/drawing/2014/chart" uri="{C3380CC4-5D6E-409C-BE32-E72D297353CC}">
              <c16:uniqueId val="{00000000-61F6-41F1-B9B9-6DF49D52DE25}"/>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Summary!$Q$63:$Q$71</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Summary!$S$63:$S$71</c:f>
              <c:numCache>
                <c:formatCode>0.0</c:formatCode>
                <c:ptCount val="9"/>
                <c:pt idx="0">
                  <c:v>6.9384488322904332</c:v>
                </c:pt>
                <c:pt idx="1">
                  <c:v>5.2051014640987541</c:v>
                </c:pt>
                <c:pt idx="2">
                  <c:v>3.8917482162343071</c:v>
                </c:pt>
                <c:pt idx="3">
                  <c:v>3.7605668616108958</c:v>
                </c:pt>
                <c:pt idx="4">
                  <c:v>0.631320892934494</c:v>
                </c:pt>
                <c:pt idx="5">
                  <c:v>2.2870842068656203</c:v>
                </c:pt>
                <c:pt idx="6">
                  <c:v>4.9973376562108687</c:v>
                </c:pt>
                <c:pt idx="7">
                  <c:v>5.4327241459936744</c:v>
                </c:pt>
                <c:pt idx="8">
                  <c:v>4.8836451692946703</c:v>
                </c:pt>
              </c:numCache>
            </c:numRef>
          </c:val>
          <c:extLst>
            <c:ext xmlns:c16="http://schemas.microsoft.com/office/drawing/2014/chart" uri="{C3380CC4-5D6E-409C-BE32-E72D297353CC}">
              <c16:uniqueId val="{00000001-61F6-41F1-B9B9-6DF49D52DE25}"/>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Summary!$Q$63:$Q$71</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Summary!$T$63:$T$71</c:f>
              <c:numCache>
                <c:formatCode>0.0</c:formatCode>
                <c:ptCount val="9"/>
                <c:pt idx="0">
                  <c:v>0</c:v>
                </c:pt>
                <c:pt idx="1">
                  <c:v>7.7297639575620307</c:v>
                </c:pt>
                <c:pt idx="2">
                  <c:v>10.475703897976242</c:v>
                </c:pt>
                <c:pt idx="3">
                  <c:v>9.5714798672386472</c:v>
                </c:pt>
                <c:pt idx="4">
                  <c:v>1.8225174123203578</c:v>
                </c:pt>
                <c:pt idx="5">
                  <c:v>6.5206152367483545</c:v>
                </c:pt>
                <c:pt idx="6">
                  <c:v>0</c:v>
                </c:pt>
                <c:pt idx="7">
                  <c:v>3.2814999301452601</c:v>
                </c:pt>
                <c:pt idx="8">
                  <c:v>4.287329360099787</c:v>
                </c:pt>
              </c:numCache>
            </c:numRef>
          </c:val>
          <c:extLst>
            <c:ext xmlns:c16="http://schemas.microsoft.com/office/drawing/2014/chart" uri="{C3380CC4-5D6E-409C-BE32-E72D297353CC}">
              <c16:uniqueId val="{00000002-61F6-41F1-B9B9-6DF49D52DE25}"/>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Summary!$Q$63:$Q$71</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Summary!$U$63:$U$71</c:f>
              <c:numCache>
                <c:formatCode>0.0</c:formatCode>
                <c:ptCount val="9"/>
                <c:pt idx="0">
                  <c:v>5.6218802550945073</c:v>
                </c:pt>
                <c:pt idx="1">
                  <c:v>8.1144400656206646</c:v>
                </c:pt>
                <c:pt idx="2">
                  <c:v>8.6685019795683509</c:v>
                </c:pt>
                <c:pt idx="3">
                  <c:v>9.5565545480820493</c:v>
                </c:pt>
                <c:pt idx="4">
                  <c:v>1.2204035098094097</c:v>
                </c:pt>
                <c:pt idx="5">
                  <c:v>4.5445934859702488</c:v>
                </c:pt>
                <c:pt idx="6">
                  <c:v>5.6218802550945073</c:v>
                </c:pt>
                <c:pt idx="7">
                  <c:v>5.39739723152789</c:v>
                </c:pt>
                <c:pt idx="8">
                  <c:v>5.5284917760883197</c:v>
                </c:pt>
              </c:numCache>
            </c:numRef>
          </c:val>
          <c:extLst>
            <c:ext xmlns:c16="http://schemas.microsoft.com/office/drawing/2014/chart" uri="{C3380CC4-5D6E-409C-BE32-E72D297353CC}">
              <c16:uniqueId val="{00000003-61F6-41F1-B9B9-6DF49D52DE25}"/>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max val="30"/>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5">
        <a:lumMod val="20000"/>
        <a:lumOff val="8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per kg </a:t>
            </a:r>
            <a:r>
              <a:rPr lang="en-US" sz="1800" b="1" i="0" u="none" strike="noStrike" cap="none" baseline="0">
                <a:effectLst/>
              </a:rPr>
              <a:t>slaughtered </a:t>
            </a:r>
            <a:r>
              <a:rPr lang="en-US" cap="none" baseline="0"/>
              <a:t>meat, jersey</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Summary!$Q$73:$Q$81</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Summary!$R$73:$R$81</c:f>
              <c:numCache>
                <c:formatCode>0.0</c:formatCode>
                <c:ptCount val="9"/>
                <c:pt idx="0">
                  <c:v>0</c:v>
                </c:pt>
                <c:pt idx="1">
                  <c:v>0.16274306224135413</c:v>
                </c:pt>
                <c:pt idx="2">
                  <c:v>0.16525235530755683</c:v>
                </c:pt>
                <c:pt idx="3">
                  <c:v>0.1595998768842749</c:v>
                </c:pt>
                <c:pt idx="4">
                  <c:v>1.8856998936143728E-2</c:v>
                </c:pt>
                <c:pt idx="5">
                  <c:v>7.8513101995992762E-2</c:v>
                </c:pt>
                <c:pt idx="6">
                  <c:v>0</c:v>
                </c:pt>
                <c:pt idx="7">
                  <c:v>0</c:v>
                </c:pt>
                <c:pt idx="8">
                  <c:v>0</c:v>
                </c:pt>
              </c:numCache>
            </c:numRef>
          </c:val>
          <c:extLst>
            <c:ext xmlns:c16="http://schemas.microsoft.com/office/drawing/2014/chart" uri="{C3380CC4-5D6E-409C-BE32-E72D297353CC}">
              <c16:uniqueId val="{00000000-4009-4748-A579-53304FD5A946}"/>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Summary!$Q$73:$Q$81</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Summary!$S$73:$S$81</c:f>
              <c:numCache>
                <c:formatCode>0.0</c:formatCode>
                <c:ptCount val="9"/>
                <c:pt idx="0">
                  <c:v>10.00240805281017</c:v>
                </c:pt>
                <c:pt idx="1">
                  <c:v>5.0239174163903115</c:v>
                </c:pt>
                <c:pt idx="2">
                  <c:v>4.2155645744006831</c:v>
                </c:pt>
                <c:pt idx="3">
                  <c:v>4.2042557860251133</c:v>
                </c:pt>
                <c:pt idx="4">
                  <c:v>0.84969929278387046</c:v>
                </c:pt>
                <c:pt idx="5">
                  <c:v>3.1364874171656028</c:v>
                </c:pt>
                <c:pt idx="6">
                  <c:v>6.3181554559316675</c:v>
                </c:pt>
                <c:pt idx="7">
                  <c:v>5.3013302374955193</c:v>
                </c:pt>
                <c:pt idx="8">
                  <c:v>4.9439149600513774</c:v>
                </c:pt>
              </c:numCache>
            </c:numRef>
          </c:val>
          <c:extLst>
            <c:ext xmlns:c16="http://schemas.microsoft.com/office/drawing/2014/chart" uri="{C3380CC4-5D6E-409C-BE32-E72D297353CC}">
              <c16:uniqueId val="{00000001-4009-4748-A579-53304FD5A946}"/>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Summary!$Q$73:$Q$81</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Summary!$T$73:$T$81</c:f>
              <c:numCache>
                <c:formatCode>0.0</c:formatCode>
                <c:ptCount val="9"/>
                <c:pt idx="0">
                  <c:v>0</c:v>
                </c:pt>
                <c:pt idx="1">
                  <c:v>6.5465001065687689</c:v>
                </c:pt>
                <c:pt idx="2">
                  <c:v>11.620431238062107</c:v>
                </c:pt>
                <c:pt idx="3">
                  <c:v>10.641725152488819</c:v>
                </c:pt>
                <c:pt idx="4">
                  <c:v>2.5539898135157566</c:v>
                </c:pt>
                <c:pt idx="5">
                  <c:v>9.2970214916609297</c:v>
                </c:pt>
                <c:pt idx="6">
                  <c:v>0</c:v>
                </c:pt>
                <c:pt idx="7">
                  <c:v>2.7369057153635996</c:v>
                </c:pt>
                <c:pt idx="8">
                  <c:v>6.2193910875945742</c:v>
                </c:pt>
              </c:numCache>
            </c:numRef>
          </c:val>
          <c:extLst>
            <c:ext xmlns:c16="http://schemas.microsoft.com/office/drawing/2014/chart" uri="{C3380CC4-5D6E-409C-BE32-E72D297353CC}">
              <c16:uniqueId val="{00000002-4009-4748-A579-53304FD5A946}"/>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Summary!$Q$73:$Q$81</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Summary!$U$73:$U$81</c:f>
              <c:numCache>
                <c:formatCode>0.0</c:formatCode>
                <c:ptCount val="9"/>
                <c:pt idx="0">
                  <c:v>5.248348292489788</c:v>
                </c:pt>
                <c:pt idx="1">
                  <c:v>7.0383815326765653</c:v>
                </c:pt>
                <c:pt idx="2">
                  <c:v>9.346685041268092</c:v>
                </c:pt>
                <c:pt idx="3">
                  <c:v>8.8850873487509112</c:v>
                </c:pt>
                <c:pt idx="4">
                  <c:v>1.7228622892292591</c:v>
                </c:pt>
                <c:pt idx="5">
                  <c:v>6.458857088224935</c:v>
                </c:pt>
                <c:pt idx="6">
                  <c:v>5.248348292489788</c:v>
                </c:pt>
                <c:pt idx="7">
                  <c:v>4.4980100189744405</c:v>
                </c:pt>
                <c:pt idx="8">
                  <c:v>5.6621434691939996</c:v>
                </c:pt>
              </c:numCache>
            </c:numRef>
          </c:val>
          <c:extLst>
            <c:ext xmlns:c16="http://schemas.microsoft.com/office/drawing/2014/chart" uri="{C3380CC4-5D6E-409C-BE32-E72D297353CC}">
              <c16:uniqueId val="{00000003-4009-4748-A579-53304FD5A946}"/>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max val="30"/>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5">
        <a:lumMod val="20000"/>
        <a:lumOff val="8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in DK, from tung race slaughtered in 2021 </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Summary!$Q$87:$Q$95</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Summary!$R$87:$R$95</c:f>
              <c:numCache>
                <c:formatCode>0</c:formatCode>
                <c:ptCount val="9"/>
                <c:pt idx="0">
                  <c:v>0</c:v>
                </c:pt>
                <c:pt idx="1">
                  <c:v>0.21353171937819587</c:v>
                </c:pt>
                <c:pt idx="2">
                  <c:v>0.63002082472023091</c:v>
                </c:pt>
                <c:pt idx="3">
                  <c:v>4.2653281482569194E-2</c:v>
                </c:pt>
                <c:pt idx="4">
                  <c:v>4.60771209145196</c:v>
                </c:pt>
                <c:pt idx="5">
                  <c:v>19.0070545984833</c:v>
                </c:pt>
                <c:pt idx="6">
                  <c:v>0</c:v>
                </c:pt>
                <c:pt idx="7">
                  <c:v>0</c:v>
                </c:pt>
                <c:pt idx="8">
                  <c:v>0</c:v>
                </c:pt>
              </c:numCache>
            </c:numRef>
          </c:val>
          <c:extLst>
            <c:ext xmlns:c16="http://schemas.microsoft.com/office/drawing/2014/chart" uri="{C3380CC4-5D6E-409C-BE32-E72D297353CC}">
              <c16:uniqueId val="{00000000-BF03-4BE7-9769-5CE583C6E278}"/>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Summary!$Q$87:$Q$95</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Summary!$S$87:$S$95</c:f>
              <c:numCache>
                <c:formatCode>0</c:formatCode>
                <c:ptCount val="9"/>
                <c:pt idx="0">
                  <c:v>11.101518131664694</c:v>
                </c:pt>
                <c:pt idx="1">
                  <c:v>6.4731682827824928</c:v>
                </c:pt>
                <c:pt idx="2">
                  <c:v>16.070234826778485</c:v>
                </c:pt>
                <c:pt idx="3">
                  <c:v>1.0911811228324642</c:v>
                </c:pt>
                <c:pt idx="4">
                  <c:v>206.40168528265497</c:v>
                </c:pt>
                <c:pt idx="5">
                  <c:v>747.7307340268701</c:v>
                </c:pt>
                <c:pt idx="6">
                  <c:v>7.9957402499373904</c:v>
                </c:pt>
                <c:pt idx="7">
                  <c:v>121.77896656624793</c:v>
                </c:pt>
                <c:pt idx="8">
                  <c:v>29.451271488787086</c:v>
                </c:pt>
              </c:numCache>
            </c:numRef>
          </c:val>
          <c:extLst>
            <c:ext xmlns:c16="http://schemas.microsoft.com/office/drawing/2014/chart" uri="{C3380CC4-5D6E-409C-BE32-E72D297353CC}">
              <c16:uniqueId val="{00000001-BF03-4BE7-9769-5CE583C6E278}"/>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Summary!$Q$87:$Q$95</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Summary!$T$87:$T$95</c:f>
              <c:numCache>
                <c:formatCode>0</c:formatCode>
                <c:ptCount val="9"/>
                <c:pt idx="0">
                  <c:v>0</c:v>
                </c:pt>
                <c:pt idx="1">
                  <c:v>9.6128890529032915</c:v>
                </c:pt>
                <c:pt idx="2">
                  <c:v>43.257428862952281</c:v>
                </c:pt>
                <c:pt idx="3">
                  <c:v>2.7772988841974349</c:v>
                </c:pt>
                <c:pt idx="4">
                  <c:v>595.84700834372154</c:v>
                </c:pt>
                <c:pt idx="5">
                  <c:v>2131.8254931953693</c:v>
                </c:pt>
                <c:pt idx="6">
                  <c:v>0</c:v>
                </c:pt>
                <c:pt idx="7">
                  <c:v>73.557511764148728</c:v>
                </c:pt>
                <c:pt idx="8">
                  <c:v>25.855134140382891</c:v>
                </c:pt>
              </c:numCache>
            </c:numRef>
          </c:val>
          <c:extLst>
            <c:ext xmlns:c16="http://schemas.microsoft.com/office/drawing/2014/chart" uri="{C3380CC4-5D6E-409C-BE32-E72D297353CC}">
              <c16:uniqueId val="{00000002-BF03-4BE7-9769-5CE583C6E278}"/>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Summary!$Q$87:$Q$95</c:f>
              <c:strCache>
                <c:ptCount val="9"/>
                <c:pt idx="0">
                  <c:v>Malkekøer, tung race Kalve 0-1 mdr</c:v>
                </c:pt>
                <c:pt idx="1">
                  <c:v>Malkekøer, tung race Kvier u. 18. mdr.</c:v>
                </c:pt>
                <c:pt idx="2">
                  <c:v>Malkekøer, tung race Kvier o. 18. mdr.</c:v>
                </c:pt>
                <c:pt idx="3">
                  <c:v>Malkekøer, tung race Stude</c:v>
                </c:pt>
                <c:pt idx="4">
                  <c:v>Malkekøer, tung race Køer -tk (1year)</c:v>
                </c:pt>
                <c:pt idx="5">
                  <c:v>Malkekøer, tung race Køer -tk</c:v>
                </c:pt>
                <c:pt idx="6">
                  <c:v>Malkekøer, tung race Tyrekalve 0-1 mdr.</c:v>
                </c:pt>
                <c:pt idx="7">
                  <c:v>Malkekøer, tung race Tyre u. 12 mdr.</c:v>
                </c:pt>
                <c:pt idx="8">
                  <c:v>Malkekøer, tung race Tyre o. 12 mdr.</c:v>
                </c:pt>
              </c:strCache>
            </c:strRef>
          </c:cat>
          <c:val>
            <c:numRef>
              <c:f>Summary!$U$87:$U$95</c:f>
              <c:numCache>
                <c:formatCode>0</c:formatCode>
                <c:ptCount val="9"/>
                <c:pt idx="0">
                  <c:v>8.9950084081512109</c:v>
                </c:pt>
                <c:pt idx="1">
                  <c:v>10.091279954407172</c:v>
                </c:pt>
                <c:pt idx="2">
                  <c:v>35.794931909251382</c:v>
                </c:pt>
                <c:pt idx="3">
                  <c:v>2.7729680938896801</c:v>
                </c:pt>
                <c:pt idx="4">
                  <c:v>398.99414698392661</c:v>
                </c:pt>
                <c:pt idx="5">
                  <c:v>1485.7923520775405</c:v>
                </c:pt>
                <c:pt idx="6">
                  <c:v>8.9950084081512109</c:v>
                </c:pt>
                <c:pt idx="7">
                  <c:v>120.9870848104275</c:v>
                </c:pt>
                <c:pt idx="8">
                  <c:v>33.340078276944013</c:v>
                </c:pt>
              </c:numCache>
            </c:numRef>
          </c:val>
          <c:extLst>
            <c:ext xmlns:c16="http://schemas.microsoft.com/office/drawing/2014/chart" uri="{C3380CC4-5D6E-409C-BE32-E72D297353CC}">
              <c16:uniqueId val="{00000003-BF03-4BE7-9769-5CE583C6E278}"/>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10</a:t>
                </a:r>
                <a:r>
                  <a:rPr lang="en-US" sz="1100" cap="none" baseline="30000"/>
                  <a:t>6</a:t>
                </a:r>
                <a:r>
                  <a:rPr lang="en-US" sz="1100" cap="none" baseline="0"/>
                  <a:t> 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majorUnit val="1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2">
        <a:lumMod val="10000"/>
        <a:lumOff val="9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r>
              <a:rPr lang="en-US" cap="none" baseline="0"/>
              <a:t>GWP in DK, from jersey slaughtered in 2021 </a:t>
            </a:r>
          </a:p>
        </c:rich>
      </c:tx>
      <c:overlay val="0"/>
      <c:spPr>
        <a:noFill/>
        <a:ln>
          <a:noFill/>
        </a:ln>
        <a:effectLst/>
      </c:spPr>
      <c:txPr>
        <a:bodyPr rot="0" spcFirstLastPara="1" vertOverflow="ellipsis" vert="horz" wrap="square" anchor="ctr" anchorCtr="1"/>
        <a:lstStyle/>
        <a:p>
          <a:pPr>
            <a:defRPr sz="1800" b="1" i="0" u="none" strike="noStrike" kern="1200" cap="none" spc="5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Summary!$R$37</c:f>
              <c:strCache>
                <c:ptCount val="1"/>
                <c:pt idx="0">
                  <c:v>m_grazing</c:v>
                </c:pt>
              </c:strCache>
            </c:strRef>
          </c:tx>
          <c:spPr>
            <a:solidFill>
              <a:schemeClr val="accent6">
                <a:alpha val="70000"/>
              </a:schemeClr>
            </a:solidFill>
            <a:ln>
              <a:noFill/>
            </a:ln>
            <a:effectLst/>
          </c:spPr>
          <c:invertIfNegative val="0"/>
          <c:cat>
            <c:strRef>
              <c:f>Summary!$Q$97:$Q$105</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Summary!$R$97:$R$105</c:f>
              <c:numCache>
                <c:formatCode>0</c:formatCode>
                <c:ptCount val="9"/>
                <c:pt idx="0">
                  <c:v>0</c:v>
                </c:pt>
                <c:pt idx="1">
                  <c:v>1.8290855508368033E-2</c:v>
                </c:pt>
                <c:pt idx="2">
                  <c:v>7.0160531483508176E-2</c:v>
                </c:pt>
                <c:pt idx="3">
                  <c:v>1.1178375376974614E-2</c:v>
                </c:pt>
                <c:pt idx="4">
                  <c:v>0.51663132837818393</c:v>
                </c:pt>
                <c:pt idx="5">
                  <c:v>2.1510489721423625</c:v>
                </c:pt>
                <c:pt idx="6">
                  <c:v>0</c:v>
                </c:pt>
                <c:pt idx="7">
                  <c:v>0</c:v>
                </c:pt>
                <c:pt idx="8">
                  <c:v>0</c:v>
                </c:pt>
              </c:numCache>
            </c:numRef>
          </c:val>
          <c:extLst>
            <c:ext xmlns:c16="http://schemas.microsoft.com/office/drawing/2014/chart" uri="{C3380CC4-5D6E-409C-BE32-E72D297353CC}">
              <c16:uniqueId val="{00000000-624D-42FF-AF7D-53D615546C50}"/>
            </c:ext>
          </c:extLst>
        </c:ser>
        <c:ser>
          <c:idx val="1"/>
          <c:order val="1"/>
          <c:tx>
            <c:strRef>
              <c:f>Summary!$S$37</c:f>
              <c:strCache>
                <c:ptCount val="1"/>
                <c:pt idx="0">
                  <c:v>m_housing+tank</c:v>
                </c:pt>
              </c:strCache>
            </c:strRef>
          </c:tx>
          <c:spPr>
            <a:solidFill>
              <a:schemeClr val="accent5">
                <a:alpha val="70000"/>
              </a:schemeClr>
            </a:solidFill>
            <a:ln>
              <a:noFill/>
            </a:ln>
            <a:effectLst/>
          </c:spPr>
          <c:invertIfNegative val="0"/>
          <c:cat>
            <c:strRef>
              <c:f>Summary!$Q$97:$Q$105</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Summary!$S$97:$S$105</c:f>
              <c:numCache>
                <c:formatCode>0</c:formatCode>
                <c:ptCount val="9"/>
                <c:pt idx="0">
                  <c:v>0</c:v>
                </c:pt>
                <c:pt idx="1">
                  <c:v>0.56464310234552351</c:v>
                </c:pt>
                <c:pt idx="2">
                  <c:v>1.7897853890950004</c:v>
                </c:pt>
                <c:pt idx="3">
                  <c:v>0.29446607525319901</c:v>
                </c:pt>
                <c:pt idx="4">
                  <c:v>23.279487676669856</c:v>
                </c:pt>
                <c:pt idx="5">
                  <c:v>85.931365126496601</c:v>
                </c:pt>
                <c:pt idx="6">
                  <c:v>0</c:v>
                </c:pt>
                <c:pt idx="7">
                  <c:v>1.2313982888956967</c:v>
                </c:pt>
                <c:pt idx="8">
                  <c:v>2.2423076862163422</c:v>
                </c:pt>
              </c:numCache>
            </c:numRef>
          </c:val>
          <c:extLst>
            <c:ext xmlns:c16="http://schemas.microsoft.com/office/drawing/2014/chart" uri="{C3380CC4-5D6E-409C-BE32-E72D297353CC}">
              <c16:uniqueId val="{00000001-624D-42FF-AF7D-53D615546C50}"/>
            </c:ext>
          </c:extLst>
        </c:ser>
        <c:ser>
          <c:idx val="2"/>
          <c:order val="2"/>
          <c:tx>
            <c:strRef>
              <c:f>Summary!$T$37</c:f>
              <c:strCache>
                <c:ptCount val="1"/>
                <c:pt idx="0">
                  <c:v>ent.ferm</c:v>
                </c:pt>
              </c:strCache>
            </c:strRef>
          </c:tx>
          <c:spPr>
            <a:solidFill>
              <a:schemeClr val="accent4">
                <a:alpha val="70000"/>
              </a:schemeClr>
            </a:solidFill>
            <a:ln>
              <a:noFill/>
            </a:ln>
            <a:effectLst/>
          </c:spPr>
          <c:invertIfNegative val="0"/>
          <c:cat>
            <c:strRef>
              <c:f>Summary!$Q$97:$Q$105</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Summary!$T$97:$T$105</c:f>
              <c:numCache>
                <c:formatCode>0</c:formatCode>
                <c:ptCount val="9"/>
                <c:pt idx="0">
                  <c:v>0</c:v>
                </c:pt>
                <c:pt idx="1">
                  <c:v>0.73576769347737048</c:v>
                </c:pt>
                <c:pt idx="2">
                  <c:v>4.9336400090190757</c:v>
                </c:pt>
                <c:pt idx="3">
                  <c:v>0.74534642968031695</c:v>
                </c:pt>
                <c:pt idx="4">
                  <c:v>69.972488967580588</c:v>
                </c:pt>
                <c:pt idx="5">
                  <c:v>254.71351933901929</c:v>
                </c:pt>
                <c:pt idx="6">
                  <c:v>0</c:v>
                </c:pt>
                <c:pt idx="7">
                  <c:v>0.63573119647037235</c:v>
                </c:pt>
                <c:pt idx="8">
                  <c:v>2.8207986083874315</c:v>
                </c:pt>
              </c:numCache>
            </c:numRef>
          </c:val>
          <c:extLst>
            <c:ext xmlns:c16="http://schemas.microsoft.com/office/drawing/2014/chart" uri="{C3380CC4-5D6E-409C-BE32-E72D297353CC}">
              <c16:uniqueId val="{00000002-624D-42FF-AF7D-53D615546C50}"/>
            </c:ext>
          </c:extLst>
        </c:ser>
        <c:ser>
          <c:idx val="3"/>
          <c:order val="3"/>
          <c:tx>
            <c:strRef>
              <c:f>Summary!$U$37</c:f>
              <c:strCache>
                <c:ptCount val="1"/>
                <c:pt idx="0">
                  <c:v>feed</c:v>
                </c:pt>
              </c:strCache>
            </c:strRef>
          </c:tx>
          <c:spPr>
            <a:solidFill>
              <a:schemeClr val="accent6">
                <a:lumMod val="60000"/>
                <a:alpha val="70000"/>
              </a:schemeClr>
            </a:solidFill>
            <a:ln>
              <a:noFill/>
            </a:ln>
            <a:effectLst/>
          </c:spPr>
          <c:invertIfNegative val="0"/>
          <c:cat>
            <c:strRef>
              <c:f>Summary!$Q$97:$Q$105</c:f>
              <c:strCache>
                <c:ptCount val="9"/>
                <c:pt idx="0">
                  <c:v>Malkekøer, jersey Kalve 0-1 mdr.</c:v>
                </c:pt>
                <c:pt idx="1">
                  <c:v>Malkekøer, jersey Kvier u. 18. mdr.</c:v>
                </c:pt>
                <c:pt idx="2">
                  <c:v>Malkekøer, jersey Kvier o. 18. mdr.</c:v>
                </c:pt>
                <c:pt idx="3">
                  <c:v>Malkekøer, jersey Stude</c:v>
                </c:pt>
                <c:pt idx="4">
                  <c:v>Malkekøer, jersey Køer (1year)</c:v>
                </c:pt>
                <c:pt idx="5">
                  <c:v>Malkekøer, jersey Køer</c:v>
                </c:pt>
                <c:pt idx="6">
                  <c:v>Malkekøer, jersey Tyrekalve 0-1 mdr.</c:v>
                </c:pt>
                <c:pt idx="7">
                  <c:v>Malkekøer, jersey Tyre u. 12 mdr.</c:v>
                </c:pt>
                <c:pt idx="8">
                  <c:v>Malkekøer, jersey Tyre o. 12 mdr.</c:v>
                </c:pt>
              </c:strCache>
            </c:strRef>
          </c:cat>
          <c:val>
            <c:numRef>
              <c:f>Summary!$U$97:$U$105</c:f>
              <c:numCache>
                <c:formatCode>0</c:formatCode>
                <c:ptCount val="9"/>
                <c:pt idx="0">
                  <c:v>0</c:v>
                </c:pt>
                <c:pt idx="1">
                  <c:v>0.79105073883905197</c:v>
                </c:pt>
                <c:pt idx="2">
                  <c:v>3.9682846812310291</c:v>
                </c:pt>
                <c:pt idx="3">
                  <c:v>0.62231151790651396</c:v>
                </c:pt>
                <c:pt idx="4">
                  <c:v>47.201818068258021</c:v>
                </c:pt>
                <c:pt idx="5">
                  <c:v>176.95540677465223</c:v>
                </c:pt>
                <c:pt idx="6">
                  <c:v>0</c:v>
                </c:pt>
                <c:pt idx="7">
                  <c:v>1.044802265217402</c:v>
                </c:pt>
                <c:pt idx="8">
                  <c:v>2.5680595083094691</c:v>
                </c:pt>
              </c:numCache>
            </c:numRef>
          </c:val>
          <c:extLst>
            <c:ext xmlns:c16="http://schemas.microsoft.com/office/drawing/2014/chart" uri="{C3380CC4-5D6E-409C-BE32-E72D297353CC}">
              <c16:uniqueId val="{00000003-624D-42FF-AF7D-53D615546C50}"/>
            </c:ext>
          </c:extLst>
        </c:ser>
        <c:dLbls>
          <c:showLegendKey val="0"/>
          <c:showVal val="0"/>
          <c:showCatName val="0"/>
          <c:showSerName val="0"/>
          <c:showPercent val="0"/>
          <c:showBubbleSize val="0"/>
        </c:dLbls>
        <c:gapWidth val="50"/>
        <c:overlap val="100"/>
        <c:axId val="792933320"/>
        <c:axId val="792934632"/>
      </c:barChart>
      <c:catAx>
        <c:axId val="79293332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2934632"/>
        <c:crosses val="autoZero"/>
        <c:auto val="1"/>
        <c:lblAlgn val="ctr"/>
        <c:lblOffset val="100"/>
        <c:noMultiLvlLbl val="0"/>
      </c:catAx>
      <c:valAx>
        <c:axId val="792934632"/>
        <c:scaling>
          <c:orientation val="minMax"/>
          <c:max val="600"/>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title>
          <c:tx>
            <c:rich>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r>
                  <a:rPr lang="en-US" sz="1100" cap="none" baseline="0"/>
                  <a:t>10</a:t>
                </a:r>
                <a:r>
                  <a:rPr lang="en-US" sz="1100" cap="none" baseline="30000"/>
                  <a:t>6</a:t>
                </a:r>
                <a:r>
                  <a:rPr lang="en-US" sz="1100" cap="none" baseline="0"/>
                  <a:t> kg CO</a:t>
                </a:r>
                <a:r>
                  <a:rPr lang="en-US" sz="1100" cap="none" baseline="-25000"/>
                  <a:t>2</a:t>
                </a:r>
                <a:r>
                  <a:rPr lang="en-US" sz="1100" cap="none" baseline="0"/>
                  <a:t>eq</a:t>
                </a:r>
              </a:p>
            </c:rich>
          </c:tx>
          <c:overlay val="0"/>
          <c:spPr>
            <a:noFill/>
            <a:ln>
              <a:noFill/>
            </a:ln>
            <a:effectLst/>
          </c:spPr>
          <c:txPr>
            <a:bodyPr rot="-5400000" spcFirstLastPara="1" vertOverflow="ellipsis" vert="horz" wrap="square" anchor="ctr" anchorCtr="1"/>
            <a:lstStyle/>
            <a:p>
              <a:pPr>
                <a:defRPr sz="1100" b="0" i="0" u="none" strike="noStrike" kern="1200" cap="all"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9293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tx2">
        <a:lumMod val="10000"/>
        <a:lumOff val="90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494740</xdr:colOff>
      <xdr:row>7</xdr:row>
      <xdr:rowOff>167974</xdr:rowOff>
    </xdr:from>
    <xdr:ext cx="14663737" cy="6166151"/>
    <xdr:sp macro="" textlink="">
      <xdr:nvSpPr>
        <xdr:cNvPr id="2" name="TextBox 1">
          <a:extLst>
            <a:ext uri="{FF2B5EF4-FFF2-40B4-BE49-F238E27FC236}">
              <a16:creationId xmlns:a16="http://schemas.microsoft.com/office/drawing/2014/main" id="{91B6E257-6710-45F4-79E3-58E46ABE57B7}"/>
            </a:ext>
          </a:extLst>
        </xdr:cNvPr>
        <xdr:cNvSpPr txBox="1"/>
      </xdr:nvSpPr>
      <xdr:spPr>
        <a:xfrm>
          <a:off x="494740" y="1434799"/>
          <a:ext cx="14663737" cy="616615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1"/>
            <a:t>Model</a:t>
          </a:r>
          <a:r>
            <a:rPr lang="en-US" sz="1100" b="1" baseline="0"/>
            <a:t> description: how to use it </a:t>
          </a:r>
          <a:r>
            <a:rPr lang="en-US" sz="1100" b="1"/>
            <a:t>and assumptions</a:t>
          </a:r>
        </a:p>
        <a:p>
          <a:endParaRPr lang="en-US" sz="1100"/>
        </a:p>
        <a:p>
          <a:r>
            <a:rPr lang="en-US" sz="1100"/>
            <a:t>The model and background data are described in the accompanying word file, and they are not repeated here.</a:t>
          </a:r>
        </a:p>
        <a:p>
          <a:endParaRPr lang="en-US" sz="1100"/>
        </a:p>
        <a:p>
          <a:r>
            <a:rPr lang="en-US" sz="1100"/>
            <a:t>The model differentiates the impacts from dairy cattle, from both conventional and organic production systems, for large breed, jersey, cross-breeds young stocks from large breed, and cross-breeds young stocks from jersey (i.e., 8 production systems), and the impacts from suckler cattle, from both conventional and organic production systems, for both intensive and extensive systems (i.e., 4 production systems). Thus, a total of 12 production systems can be modelled, each of them describing the following animal groups: cows, heifers under 18 months, heifers over 18 months, bulls under 12 months, bulls over 12 months, steers, heifer calves (0-1 month), and bull calves (0-1 month). </a:t>
          </a:r>
        </a:p>
        <a:p>
          <a:endParaRPr lang="en-US" sz="1100"/>
        </a:p>
        <a:p>
          <a:r>
            <a:rPr lang="en-US" sz="1100"/>
            <a:t>In order to calculate the impacts of different production systems (see sheet "Groups"), the background data used to model the specific animal groups has to be updated (the orange cells have to be updated). The background data used in this excel represents the production systems corresponding to Excel A (sheet "Groups").</a:t>
          </a:r>
        </a:p>
        <a:p>
          <a:endParaRPr lang="en-US" sz="1100"/>
        </a:p>
        <a:p>
          <a:r>
            <a:rPr lang="en-US" sz="1100"/>
            <a:t>The climate change impacts related to the production of feed are calculated externally and imported as aggregated impacts, because of the lack of a public feed database can be used freely in this tool, based on the defined feed rations. The user can calculate the impacts from feed</a:t>
          </a:r>
          <a:r>
            <a:rPr lang="en-US" sz="1100" baseline="0"/>
            <a:t> by entering the GWP impacts of specific feed ingredients, and updating the feed impact table.</a:t>
          </a:r>
          <a:endParaRPr lang="en-US" sz="1100"/>
        </a:p>
        <a:p>
          <a:r>
            <a:rPr lang="en-US" sz="1100"/>
            <a:t>Note that this model uses the “2019 Refinement to the 2006 Guidelines” (IPCC 2019, v.4, Chapter 10) to calculate the methane and nitrous oxide emissions related to the excreted manure based on default values, so it is recommended that the climate change impacts of feed cultivation are calculated using the same guideline.</a:t>
          </a:r>
        </a:p>
        <a:p>
          <a:r>
            <a:rPr lang="en-US" sz="1100"/>
            <a:t>The enteric fermentation emissions are calculated using the NorFor enteric fermentation model (and compared with the model used in the National Inventory Report 2022) - see sheet "EntericFer &amp; FeedCultiv".</a:t>
          </a:r>
        </a:p>
        <a:p>
          <a:endParaRPr lang="en-US" sz="1100"/>
        </a:p>
        <a:p>
          <a:r>
            <a:rPr lang="en-US" sz="1100"/>
            <a:t>Main assumptions:</a:t>
          </a:r>
        </a:p>
        <a:p>
          <a:r>
            <a:rPr lang="en-US" sz="1100"/>
            <a:t>* characterization factors: 27.9 kg CO2eq / kg_methane; 273 kg CO2eq / kg_nitrous.oxide (as in IPCC, 2021. IPCC_AR6_WGI_Full_Report, The Physical Science Basis). The allocation factor can be updated (orange cells).</a:t>
          </a:r>
        </a:p>
        <a:p>
          <a:r>
            <a:rPr lang="en-US" sz="1100"/>
            <a:t>* in the interest of simplicity, only two housing/grazing systems have been used to describe all animal groups:  </a:t>
          </a:r>
        </a:p>
        <a:p>
          <a:r>
            <a:rPr lang="en-US" sz="1100"/>
            <a:t>  - x% grazing, y% Sengestald med spaltegulv (kanal, bagskyl eller ringkanal), z% Dybstrøelse, lang ædeplads med spalter (kanal, bagskyl eller ringkanal)   (where x+y+z=1 and represents the average</a:t>
          </a:r>
          <a:r>
            <a:rPr lang="en-US" sz="1100" baseline="0"/>
            <a:t> distribution across different systems in the individual animal groups</a:t>
          </a:r>
          <a:r>
            <a:rPr lang="en-US" sz="1100"/>
            <a:t>)</a:t>
          </a:r>
        </a:p>
        <a:p>
          <a:r>
            <a:rPr lang="en-US" sz="1100"/>
            <a:t>  - 100% Dybstrøelse (hele arealet) - only used in the case of calves</a:t>
          </a:r>
        </a:p>
        <a:p>
          <a:r>
            <a:rPr lang="en-US" sz="1100"/>
            <a:t>   (other systems may be used, i.e. </a:t>
          </a:r>
          <a:r>
            <a:rPr lang="en-US" sz="1100" baseline="0"/>
            <a:t>orange cells, </a:t>
          </a:r>
          <a:r>
            <a:rPr lang="en-US" sz="1100"/>
            <a:t>but the use of other</a:t>
          </a:r>
          <a:r>
            <a:rPr lang="en-US" sz="1100" baseline="0"/>
            <a:t> systems have not been tested against potential errors)</a:t>
          </a:r>
          <a:endParaRPr lang="en-US" sz="1100"/>
        </a:p>
        <a:p>
          <a:r>
            <a:rPr lang="en-US" sz="1100"/>
            <a:t>* in the interest of simplicity, only one manure management system has been used to describe all animal groups:</a:t>
          </a:r>
        </a:p>
        <a:p>
          <a:r>
            <a:rPr lang="en-US" sz="1100"/>
            <a:t>  - a% on field during grazing, b% Gylle med flydelag el. lign., c% Dybstrøelse med overdækning  (where a+b+c=1 and represents the whole manure extreted during the animal lifetime)</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   (other systems may be used, i.e. </a:t>
          </a:r>
          <a:r>
            <a:rPr lang="en-US" sz="1100" baseline="0">
              <a:solidFill>
                <a:schemeClr val="tx1"/>
              </a:solidFill>
              <a:effectLst/>
              <a:latin typeface="+mn-lt"/>
              <a:ea typeface="+mn-ea"/>
              <a:cs typeface="+mn-cs"/>
            </a:rPr>
            <a:t>orange cells, </a:t>
          </a:r>
          <a:r>
            <a:rPr lang="en-US" sz="1100">
              <a:solidFill>
                <a:schemeClr val="tx1"/>
              </a:solidFill>
              <a:effectLst/>
              <a:latin typeface="+mn-lt"/>
              <a:ea typeface="+mn-ea"/>
              <a:cs typeface="+mn-cs"/>
            </a:rPr>
            <a:t>but the use of other</a:t>
          </a:r>
          <a:r>
            <a:rPr lang="en-US" sz="1100" baseline="0">
              <a:solidFill>
                <a:schemeClr val="tx1"/>
              </a:solidFill>
              <a:effectLst/>
              <a:latin typeface="+mn-lt"/>
              <a:ea typeface="+mn-ea"/>
              <a:cs typeface="+mn-cs"/>
            </a:rPr>
            <a:t> systems have not been tested against potential errors)</a:t>
          </a:r>
          <a:endParaRPr lang="en-US">
            <a:effectLst/>
          </a:endParaRPr>
        </a:p>
        <a:p>
          <a:r>
            <a:rPr lang="en-US" sz="1100"/>
            <a:t>* enteric fermentation for 0-1 month calves is assumed to be equal to zero</a:t>
          </a:r>
        </a:p>
        <a:p>
          <a:r>
            <a:rPr lang="en-US" sz="1100"/>
            <a:t>* milking cows are generating both milk and meat, and the overall climate change impacts during the lifetime of the milking cows are split between these two products. The model uses a default allocation factor for meat of 12% (Summary sheet), based on default value from IDF 2015. The allocation factor can be updated (orange cells).</a:t>
          </a:r>
        </a:p>
        <a:p>
          <a:r>
            <a:rPr lang="en-US" sz="1100"/>
            <a:t>* 30% of the manure from milking cows and heifers is assumed to be sent to anaerobic digestor, based on Arla Foods' data for 2020. The manure from other animal groups is not sent to anaerobic digestor. These percentages can be updated (orange cells)</a:t>
          </a: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a:t>DISCLAMER: the model is meant to be flexible in the sense that background data can be updated. U</a:t>
          </a:r>
          <a:r>
            <a:rPr lang="en-US" sz="1100">
              <a:solidFill>
                <a:schemeClr val="tx1"/>
              </a:solidFill>
              <a:effectLst/>
              <a:latin typeface="+mn-lt"/>
              <a:ea typeface="+mn-ea"/>
              <a:cs typeface="+mn-cs"/>
            </a:rPr>
            <a:t>ntil</a:t>
          </a:r>
          <a:r>
            <a:rPr lang="en-US" sz="1100" baseline="0">
              <a:solidFill>
                <a:schemeClr val="tx1"/>
              </a:solidFill>
              <a:effectLst/>
              <a:latin typeface="+mn-lt"/>
              <a:ea typeface="+mn-ea"/>
              <a:cs typeface="+mn-cs"/>
            </a:rPr>
            <a:t> Dec'22, </a:t>
          </a:r>
          <a:r>
            <a:rPr lang="en-US" sz="1100">
              <a:solidFill>
                <a:schemeClr val="tx1"/>
              </a:solidFill>
              <a:effectLst/>
              <a:latin typeface="+mn-lt"/>
              <a:ea typeface="+mn-ea"/>
              <a:cs typeface="+mn-cs"/>
            </a:rPr>
            <a:t>he model has only been tested for dairy cattle,</a:t>
          </a:r>
          <a:r>
            <a:rPr lang="en-US" sz="1100" baseline="0">
              <a:solidFill>
                <a:schemeClr val="tx1"/>
              </a:solidFill>
              <a:effectLst/>
              <a:latin typeface="+mn-lt"/>
              <a:ea typeface="+mn-ea"/>
              <a:cs typeface="+mn-cs"/>
            </a:rPr>
            <a:t> presenting no issues (when used with the default assumptions described above). T</a:t>
          </a:r>
          <a:r>
            <a:rPr lang="en-US" sz="1100"/>
            <a:t>he authors to not take any resposability for potential errors.</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23</xdr:col>
      <xdr:colOff>497831</xdr:colOff>
      <xdr:row>35</xdr:row>
      <xdr:rowOff>18359</xdr:rowOff>
    </xdr:from>
    <xdr:to>
      <xdr:col>33</xdr:col>
      <xdr:colOff>556467</xdr:colOff>
      <xdr:row>53</xdr:row>
      <xdr:rowOff>189359</xdr:rowOff>
    </xdr:to>
    <xdr:graphicFrame macro="">
      <xdr:nvGraphicFramePr>
        <xdr:cNvPr id="2" name="Chart 1">
          <a:extLst>
            <a:ext uri="{FF2B5EF4-FFF2-40B4-BE49-F238E27FC236}">
              <a16:creationId xmlns:a16="http://schemas.microsoft.com/office/drawing/2014/main" id="{53CF4053-F2F2-44D8-8BF2-5D67ACBD54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324971</xdr:colOff>
      <xdr:row>35</xdr:row>
      <xdr:rowOff>33618</xdr:rowOff>
    </xdr:from>
    <xdr:to>
      <xdr:col>44</xdr:col>
      <xdr:colOff>383607</xdr:colOff>
      <xdr:row>54</xdr:row>
      <xdr:rowOff>14118</xdr:rowOff>
    </xdr:to>
    <xdr:graphicFrame macro="">
      <xdr:nvGraphicFramePr>
        <xdr:cNvPr id="3" name="Chart 2">
          <a:extLst>
            <a:ext uri="{FF2B5EF4-FFF2-40B4-BE49-F238E27FC236}">
              <a16:creationId xmlns:a16="http://schemas.microsoft.com/office/drawing/2014/main" id="{7FB1601C-5B8C-42B2-9B40-2C1C261517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23</xdr:col>
      <xdr:colOff>493060</xdr:colOff>
      <xdr:row>59</xdr:row>
      <xdr:rowOff>11206</xdr:rowOff>
    </xdr:from>
    <xdr:to>
      <xdr:col>33</xdr:col>
      <xdr:colOff>551696</xdr:colOff>
      <xdr:row>77</xdr:row>
      <xdr:rowOff>182206</xdr:rowOff>
    </xdr:to>
    <xdr:graphicFrame macro="">
      <xdr:nvGraphicFramePr>
        <xdr:cNvPr id="5" name="Chart 4">
          <a:extLst>
            <a:ext uri="{FF2B5EF4-FFF2-40B4-BE49-F238E27FC236}">
              <a16:creationId xmlns:a16="http://schemas.microsoft.com/office/drawing/2014/main" id="{7019B158-8F24-46B0-B880-CE343DEF1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34</xdr:col>
      <xdr:colOff>100853</xdr:colOff>
      <xdr:row>58</xdr:row>
      <xdr:rowOff>168089</xdr:rowOff>
    </xdr:from>
    <xdr:to>
      <xdr:col>44</xdr:col>
      <xdr:colOff>159489</xdr:colOff>
      <xdr:row>77</xdr:row>
      <xdr:rowOff>148589</xdr:rowOff>
    </xdr:to>
    <xdr:graphicFrame macro="">
      <xdr:nvGraphicFramePr>
        <xdr:cNvPr id="6" name="Chart 5">
          <a:extLst>
            <a:ext uri="{FF2B5EF4-FFF2-40B4-BE49-F238E27FC236}">
              <a16:creationId xmlns:a16="http://schemas.microsoft.com/office/drawing/2014/main" id="{8205A68B-AF4D-4AAB-B81B-E27195F21F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23</xdr:col>
      <xdr:colOff>515471</xdr:colOff>
      <xdr:row>83</xdr:row>
      <xdr:rowOff>11206</xdr:rowOff>
    </xdr:from>
    <xdr:to>
      <xdr:col>33</xdr:col>
      <xdr:colOff>574107</xdr:colOff>
      <xdr:row>101</xdr:row>
      <xdr:rowOff>148588</xdr:rowOff>
    </xdr:to>
    <xdr:graphicFrame macro="">
      <xdr:nvGraphicFramePr>
        <xdr:cNvPr id="7" name="Chart 6">
          <a:extLst>
            <a:ext uri="{FF2B5EF4-FFF2-40B4-BE49-F238E27FC236}">
              <a16:creationId xmlns:a16="http://schemas.microsoft.com/office/drawing/2014/main" id="{7CA74B48-FAC6-412A-8CB5-FB261E544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89647</xdr:colOff>
      <xdr:row>83</xdr:row>
      <xdr:rowOff>0</xdr:rowOff>
    </xdr:from>
    <xdr:to>
      <xdr:col>44</xdr:col>
      <xdr:colOff>148283</xdr:colOff>
      <xdr:row>101</xdr:row>
      <xdr:rowOff>137382</xdr:rowOff>
    </xdr:to>
    <xdr:graphicFrame macro="">
      <xdr:nvGraphicFramePr>
        <xdr:cNvPr id="8" name="Chart 7">
          <a:extLst>
            <a:ext uri="{FF2B5EF4-FFF2-40B4-BE49-F238E27FC236}">
              <a16:creationId xmlns:a16="http://schemas.microsoft.com/office/drawing/2014/main" id="{CF482A8D-1A65-451A-94EC-56C49D24D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727133</xdr:colOff>
      <xdr:row>6</xdr:row>
      <xdr:rowOff>66661</xdr:rowOff>
    </xdr:from>
    <xdr:to>
      <xdr:col>12</xdr:col>
      <xdr:colOff>77833</xdr:colOff>
      <xdr:row>39</xdr:row>
      <xdr:rowOff>48028</xdr:rowOff>
    </xdr:to>
    <xdr:pic>
      <xdr:nvPicPr>
        <xdr:cNvPr id="2" name="Billede 1">
          <a:extLst>
            <a:ext uri="{FF2B5EF4-FFF2-40B4-BE49-F238E27FC236}">
              <a16:creationId xmlns:a16="http://schemas.microsoft.com/office/drawing/2014/main" id="{73070F0D-2996-46AE-95A7-6D0D4D29CBF2}"/>
            </a:ext>
          </a:extLst>
        </xdr:cNvPr>
        <xdr:cNvPicPr>
          <a:picLocks noChangeAspect="1"/>
        </xdr:cNvPicPr>
      </xdr:nvPicPr>
      <xdr:blipFill>
        <a:blip xmlns:r="http://schemas.openxmlformats.org/officeDocument/2006/relationships" r:embed="rId1"/>
        <a:stretch>
          <a:fillRect/>
        </a:stretch>
      </xdr:blipFill>
      <xdr:spPr>
        <a:xfrm>
          <a:off x="13980490" y="1699518"/>
          <a:ext cx="5841307" cy="5818831"/>
        </a:xfrm>
        <a:prstGeom prst="rect">
          <a:avLst/>
        </a:prstGeom>
      </xdr:spPr>
    </xdr:pic>
    <xdr:clientData/>
  </xdr:twoCellAnchor>
  <xdr:twoCellAnchor editAs="oneCell">
    <xdr:from>
      <xdr:col>1</xdr:col>
      <xdr:colOff>2183675</xdr:colOff>
      <xdr:row>24</xdr:row>
      <xdr:rowOff>5716</xdr:rowOff>
    </xdr:from>
    <xdr:to>
      <xdr:col>3</xdr:col>
      <xdr:colOff>1823357</xdr:colOff>
      <xdr:row>41</xdr:row>
      <xdr:rowOff>99007</xdr:rowOff>
    </xdr:to>
    <xdr:pic>
      <xdr:nvPicPr>
        <xdr:cNvPr id="3" name="Billede 2">
          <a:extLst>
            <a:ext uri="{FF2B5EF4-FFF2-40B4-BE49-F238E27FC236}">
              <a16:creationId xmlns:a16="http://schemas.microsoft.com/office/drawing/2014/main" id="{D9003F5A-1D38-4A85-A836-229DF556E68C}"/>
            </a:ext>
          </a:extLst>
        </xdr:cNvPr>
        <xdr:cNvPicPr>
          <a:picLocks noChangeAspect="1"/>
        </xdr:cNvPicPr>
      </xdr:nvPicPr>
      <xdr:blipFill>
        <a:blip xmlns:r="http://schemas.openxmlformats.org/officeDocument/2006/relationships" r:embed="rId2"/>
        <a:stretch>
          <a:fillRect/>
        </a:stretch>
      </xdr:blipFill>
      <xdr:spPr>
        <a:xfrm>
          <a:off x="2795996" y="4822645"/>
          <a:ext cx="5422718" cy="3100469"/>
        </a:xfrm>
        <a:prstGeom prst="rect">
          <a:avLst/>
        </a:prstGeom>
      </xdr:spPr>
    </xdr:pic>
    <xdr:clientData/>
  </xdr:twoCellAnchor>
</xdr:wsDr>
</file>

<file path=xl/theme/theme1.xml><?xml version="1.0" encoding="utf-8"?>
<a:theme xmlns:a="http://schemas.openxmlformats.org/drawingml/2006/main" name="Kontortema">
  <a:themeElements>
    <a:clrScheme name="SEGES">
      <a:dk1>
        <a:srgbClr val="000000"/>
      </a:dk1>
      <a:lt1>
        <a:sysClr val="window" lastClr="FFFFFF"/>
      </a:lt1>
      <a:dk2>
        <a:srgbClr val="09562C"/>
      </a:dk2>
      <a:lt2>
        <a:srgbClr val="E7E5DB"/>
      </a:lt2>
      <a:accent1>
        <a:srgbClr val="076471"/>
      </a:accent1>
      <a:accent2>
        <a:srgbClr val="C8C7B2"/>
      </a:accent2>
      <a:accent3>
        <a:srgbClr val="9DDCF9"/>
      </a:accent3>
      <a:accent4>
        <a:srgbClr val="7C9877"/>
      </a:accent4>
      <a:accent5>
        <a:srgbClr val="338291"/>
      </a:accent5>
      <a:accent6>
        <a:srgbClr val="E95D0F"/>
      </a:accent6>
      <a:hlink>
        <a:srgbClr val="076471"/>
      </a:hlink>
      <a:folHlink>
        <a:srgbClr val="E95D0F"/>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FFD6-CD7F-4834-BC66-B6076721FBA6}">
  <dimension ref="B2:T10"/>
  <sheetViews>
    <sheetView zoomScaleNormal="100" workbookViewId="0"/>
  </sheetViews>
  <sheetFormatPr defaultColWidth="9.140625" defaultRowHeight="15" x14ac:dyDescent="0.25"/>
  <cols>
    <col min="1" max="1" width="9.140625" style="558"/>
    <col min="2" max="2" width="5.85546875" style="558" customWidth="1"/>
    <col min="3" max="3" width="7.5703125" style="558" customWidth="1"/>
    <col min="4" max="19" width="9.140625" style="558"/>
    <col min="20" max="20" width="9" style="558" customWidth="1"/>
    <col min="21" max="16384" width="9.140625" style="558"/>
  </cols>
  <sheetData>
    <row r="2" spans="2:20" x14ac:dyDescent="0.25">
      <c r="B2" s="557" t="s">
        <v>679</v>
      </c>
    </row>
    <row r="3" spans="2:20" x14ac:dyDescent="0.25">
      <c r="B3" s="558" t="s">
        <v>680</v>
      </c>
    </row>
    <row r="5" spans="2:20" x14ac:dyDescent="0.25">
      <c r="B5" s="558" t="s">
        <v>682</v>
      </c>
    </row>
    <row r="6" spans="2:20" x14ac:dyDescent="0.25">
      <c r="B6" s="558" t="s">
        <v>681</v>
      </c>
    </row>
    <row r="9" spans="2:20" x14ac:dyDescent="0.25">
      <c r="B9" s="706"/>
      <c r="C9" s="706"/>
      <c r="D9" s="706"/>
      <c r="E9" s="706"/>
      <c r="F9" s="706"/>
      <c r="G9" s="706"/>
      <c r="H9" s="706"/>
      <c r="I9" s="706"/>
      <c r="J9" s="706"/>
      <c r="K9" s="706"/>
      <c r="L9" s="706"/>
      <c r="M9" s="706"/>
      <c r="N9" s="706"/>
      <c r="O9" s="706"/>
      <c r="P9" s="706"/>
      <c r="Q9" s="706"/>
      <c r="R9" s="706"/>
      <c r="S9" s="706"/>
      <c r="T9" s="706"/>
    </row>
    <row r="10" spans="2:20" x14ac:dyDescent="0.25">
      <c r="B10" s="559"/>
      <c r="C10" s="559"/>
      <c r="D10" s="559"/>
      <c r="E10" s="559"/>
      <c r="F10" s="559"/>
      <c r="G10" s="559"/>
      <c r="H10" s="559"/>
      <c r="I10" s="559"/>
      <c r="J10" s="559"/>
      <c r="K10" s="559"/>
      <c r="L10" s="559"/>
      <c r="M10" s="559"/>
      <c r="N10" s="559"/>
      <c r="O10" s="559"/>
      <c r="P10" s="559"/>
      <c r="Q10" s="559"/>
      <c r="R10" s="559"/>
      <c r="S10" s="559"/>
      <c r="T10" s="559"/>
    </row>
  </sheetData>
  <sheetProtection algorithmName="SHA-512" hashValue="N4mXZ9hmK9RijUkqYJEd0FbdV69kB1oEAh+NfGQ7rvKJ1erQ5ZJrEBDecplLtlAMaFX4MLS1Tlt19c9UADHagw==" saltValue="57/svgGvYMPfl+uF/32NbQ==" spinCount="100000" sheet="1" objects="1" scenarios="1"/>
  <mergeCells count="1">
    <mergeCell ref="B9:T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40539-272D-4332-945C-7DBD76FF59E8}">
  <dimension ref="A1:O83"/>
  <sheetViews>
    <sheetView zoomScale="70" zoomScaleNormal="70" workbookViewId="0">
      <selection activeCell="M62" sqref="M62"/>
    </sheetView>
  </sheetViews>
  <sheetFormatPr defaultRowHeight="15" x14ac:dyDescent="0.25"/>
  <cols>
    <col min="1" max="1" width="12.5703125" customWidth="1"/>
    <col min="2" max="2" width="16.7109375" customWidth="1"/>
    <col min="3" max="3" width="44" bestFit="1" customWidth="1"/>
    <col min="5" max="5" width="50.28515625" customWidth="1"/>
    <col min="6" max="6" width="14.42578125" bestFit="1" customWidth="1"/>
    <col min="7" max="7" width="10.85546875" style="5" customWidth="1"/>
    <col min="8" max="8" width="18.28515625" customWidth="1"/>
    <col min="9" max="9" width="41" bestFit="1" customWidth="1"/>
    <col min="11" max="11" width="58.5703125" customWidth="1"/>
    <col min="12" max="12" width="13.85546875" bestFit="1" customWidth="1"/>
    <col min="13" max="13" width="63.42578125" bestFit="1" customWidth="1"/>
  </cols>
  <sheetData>
    <row r="1" spans="1:13" ht="15.75" thickBot="1" x14ac:dyDescent="0.3">
      <c r="A1" s="260" t="s">
        <v>304</v>
      </c>
    </row>
    <row r="2" spans="1:13" ht="15.75" thickBot="1" x14ac:dyDescent="0.3">
      <c r="A2" s="260"/>
      <c r="B2" s="707" t="s">
        <v>569</v>
      </c>
      <c r="C2" s="708"/>
      <c r="D2" s="708"/>
      <c r="E2" s="708"/>
      <c r="F2" s="709"/>
      <c r="H2" s="707" t="s">
        <v>570</v>
      </c>
      <c r="I2" s="708"/>
      <c r="J2" s="708"/>
      <c r="K2" s="708"/>
      <c r="L2" s="709"/>
    </row>
    <row r="3" spans="1:13" s="12" customFormat="1" x14ac:dyDescent="0.25">
      <c r="A3" s="710" t="s">
        <v>332</v>
      </c>
      <c r="B3" s="12" t="s">
        <v>120</v>
      </c>
      <c r="G3" s="51"/>
      <c r="H3" s="12" t="s">
        <v>121</v>
      </c>
    </row>
    <row r="4" spans="1:13" s="12" customFormat="1" x14ac:dyDescent="0.25">
      <c r="A4" s="710"/>
      <c r="B4" s="12" t="s">
        <v>149</v>
      </c>
      <c r="E4" s="56" t="s">
        <v>490</v>
      </c>
      <c r="F4" s="56" t="s">
        <v>489</v>
      </c>
      <c r="G4" s="44"/>
      <c r="H4" s="12" t="s">
        <v>149</v>
      </c>
      <c r="K4" s="56" t="s">
        <v>490</v>
      </c>
      <c r="L4" s="56" t="s">
        <v>489</v>
      </c>
    </row>
    <row r="5" spans="1:13" x14ac:dyDescent="0.25">
      <c r="A5" s="710"/>
      <c r="B5" s="25" t="s">
        <v>251</v>
      </c>
      <c r="C5" s="14" t="str">
        <f>B$3&amp;" "&amp;B5</f>
        <v>Malkekøer, tung race Køer</v>
      </c>
      <c r="D5" s="15" t="s">
        <v>252</v>
      </c>
      <c r="E5" s="25" t="s">
        <v>20</v>
      </c>
      <c r="F5" s="15" t="s">
        <v>416</v>
      </c>
      <c r="H5" s="25" t="s">
        <v>251</v>
      </c>
      <c r="I5" s="14" t="str">
        <f>H$3&amp;" "&amp;H5</f>
        <v>Malkekøer, jersey Køer</v>
      </c>
      <c r="J5" s="15" t="s">
        <v>253</v>
      </c>
      <c r="K5" s="25" t="s">
        <v>31</v>
      </c>
      <c r="L5" s="15" t="s">
        <v>416</v>
      </c>
    </row>
    <row r="6" spans="1:13" x14ac:dyDescent="0.25">
      <c r="A6" s="710"/>
      <c r="B6" s="21" t="s">
        <v>254</v>
      </c>
      <c r="C6" s="5" t="str">
        <f>B$3&amp;" "&amp;B6</f>
        <v>Malkekøer, tung race Kvier u. 18. mdr.</v>
      </c>
      <c r="D6" s="18" t="s">
        <v>255</v>
      </c>
      <c r="E6" s="21" t="s">
        <v>43</v>
      </c>
      <c r="F6" s="18" t="s">
        <v>504</v>
      </c>
      <c r="H6" s="21" t="s">
        <v>254</v>
      </c>
      <c r="I6" s="5" t="str">
        <f>H$3&amp;" "&amp;H6</f>
        <v>Malkekøer, jersey Kvier u. 18. mdr.</v>
      </c>
      <c r="J6" s="18" t="s">
        <v>256</v>
      </c>
      <c r="K6" s="21" t="s">
        <v>44</v>
      </c>
      <c r="L6" s="18" t="s">
        <v>505</v>
      </c>
    </row>
    <row r="7" spans="1:13" x14ac:dyDescent="0.25">
      <c r="A7" s="710"/>
      <c r="B7" s="21" t="s">
        <v>257</v>
      </c>
      <c r="C7" s="5" t="str">
        <f>B$3&amp;" "&amp;B7</f>
        <v>Malkekøer, tung race Kvier o. 18. mdr.</v>
      </c>
      <c r="D7" s="18" t="s">
        <v>258</v>
      </c>
      <c r="E7" s="21" t="s">
        <v>43</v>
      </c>
      <c r="F7" s="18" t="s">
        <v>355</v>
      </c>
      <c r="H7" s="21" t="s">
        <v>257</v>
      </c>
      <c r="I7" s="5" t="str">
        <f>H$3&amp;" "&amp;H7</f>
        <v>Malkekøer, jersey Kvier o. 18. mdr.</v>
      </c>
      <c r="J7" s="18" t="s">
        <v>259</v>
      </c>
      <c r="K7" s="21" t="s">
        <v>44</v>
      </c>
      <c r="L7" s="18" t="s">
        <v>412</v>
      </c>
    </row>
    <row r="8" spans="1:13" x14ac:dyDescent="0.25">
      <c r="A8" s="710"/>
      <c r="B8" s="21" t="s">
        <v>579</v>
      </c>
      <c r="C8" s="5" t="str">
        <f>B$3&amp;" "&amp;B8</f>
        <v>Malkekøer, tung race Kalve 0-1 mdr.</v>
      </c>
      <c r="D8" s="18" t="s">
        <v>580</v>
      </c>
      <c r="E8" s="21" t="s">
        <v>35</v>
      </c>
      <c r="F8" s="18" t="s">
        <v>581</v>
      </c>
      <c r="H8" s="21" t="s">
        <v>579</v>
      </c>
      <c r="I8" s="5" t="str">
        <f>H$3&amp;" "&amp;H8</f>
        <v>Malkekøer, jersey Kalve 0-1 mdr.</v>
      </c>
      <c r="J8" s="18" t="s">
        <v>584</v>
      </c>
      <c r="K8" s="21" t="s">
        <v>37</v>
      </c>
      <c r="L8" s="18" t="s">
        <v>301</v>
      </c>
    </row>
    <row r="9" spans="1:13" x14ac:dyDescent="0.25">
      <c r="A9" s="710"/>
      <c r="B9" s="21" t="s">
        <v>346</v>
      </c>
      <c r="C9" s="5" t="str">
        <f>B$3&amp;" "&amp;B9</f>
        <v>Malkekøer, tung race Kalve 0-6 mdr.</v>
      </c>
      <c r="D9" s="18" t="s">
        <v>338</v>
      </c>
      <c r="E9" s="21" t="s">
        <v>35</v>
      </c>
      <c r="F9" s="53" t="s">
        <v>416</v>
      </c>
      <c r="G9" s="7"/>
      <c r="H9" s="21" t="s">
        <v>346</v>
      </c>
      <c r="I9" s="5" t="str">
        <f>H$3&amp;" "&amp;H9</f>
        <v>Malkekøer, jersey Kalve 0-6 mdr.</v>
      </c>
      <c r="J9" s="18" t="s">
        <v>347</v>
      </c>
      <c r="K9" s="21" t="s">
        <v>37</v>
      </c>
      <c r="L9" s="53" t="s">
        <v>416</v>
      </c>
    </row>
    <row r="10" spans="1:13" x14ac:dyDescent="0.25">
      <c r="A10" s="710"/>
      <c r="B10" s="21"/>
      <c r="C10" s="5"/>
      <c r="D10" s="18"/>
      <c r="E10" s="21"/>
      <c r="F10" s="18"/>
      <c r="H10" s="21"/>
      <c r="I10" s="5"/>
      <c r="J10" s="18"/>
      <c r="K10" s="21"/>
      <c r="L10" s="18"/>
    </row>
    <row r="11" spans="1:13" x14ac:dyDescent="0.25">
      <c r="A11" s="710"/>
      <c r="B11" s="21" t="s">
        <v>260</v>
      </c>
      <c r="C11" s="5" t="str">
        <f>B$3&amp;" "&amp;B11</f>
        <v>Malkekøer, tung race Tyre u. 12 mdr.</v>
      </c>
      <c r="D11" s="18" t="s">
        <v>289</v>
      </c>
      <c r="E11" s="21" t="s">
        <v>47</v>
      </c>
      <c r="F11" s="18" t="s">
        <v>341</v>
      </c>
      <c r="H11" s="21" t="s">
        <v>260</v>
      </c>
      <c r="I11" s="5" t="str">
        <f>H$3&amp;" "&amp;H11</f>
        <v>Malkekøer, jersey Tyre u. 12 mdr.</v>
      </c>
      <c r="J11" s="18" t="s">
        <v>291</v>
      </c>
      <c r="K11" s="21" t="s">
        <v>48</v>
      </c>
      <c r="L11" s="18" t="s">
        <v>414</v>
      </c>
    </row>
    <row r="12" spans="1:13" x14ac:dyDescent="0.25">
      <c r="A12" s="710"/>
      <c r="B12" s="21" t="s">
        <v>261</v>
      </c>
      <c r="C12" s="5" t="str">
        <f>B$3&amp;" "&amp;B12</f>
        <v>Malkekøer, tung race Tyre o. 12 mdr.</v>
      </c>
      <c r="D12" s="18" t="s">
        <v>290</v>
      </c>
      <c r="E12" s="21" t="s">
        <v>47</v>
      </c>
      <c r="F12" s="18" t="s">
        <v>342</v>
      </c>
      <c r="H12" s="21" t="s">
        <v>261</v>
      </c>
      <c r="I12" s="5" t="str">
        <f>H$3&amp;" "&amp;H12</f>
        <v>Malkekøer, jersey Tyre o. 12 mdr.</v>
      </c>
      <c r="J12" s="18" t="s">
        <v>292</v>
      </c>
      <c r="K12" s="21" t="s">
        <v>48</v>
      </c>
      <c r="L12" s="18" t="s">
        <v>415</v>
      </c>
    </row>
    <row r="13" spans="1:13" x14ac:dyDescent="0.25">
      <c r="A13" s="710"/>
      <c r="B13" s="21" t="s">
        <v>262</v>
      </c>
      <c r="C13" s="5" t="str">
        <f>B$3&amp;" "&amp;B13</f>
        <v>Malkekøer, tung race Stude</v>
      </c>
      <c r="D13" s="18" t="s">
        <v>264</v>
      </c>
      <c r="E13" s="21" t="s">
        <v>43</v>
      </c>
      <c r="F13" s="18" t="s">
        <v>355</v>
      </c>
      <c r="H13" s="21" t="s">
        <v>262</v>
      </c>
      <c r="I13" s="5" t="str">
        <f>H$3&amp;" "&amp;H13</f>
        <v>Malkekøer, jersey Stude</v>
      </c>
      <c r="J13" s="18" t="s">
        <v>265</v>
      </c>
      <c r="K13" s="21" t="s">
        <v>44</v>
      </c>
      <c r="L13" s="18" t="s">
        <v>413</v>
      </c>
    </row>
    <row r="14" spans="1:13" x14ac:dyDescent="0.25">
      <c r="A14" s="710"/>
      <c r="B14" s="21" t="s">
        <v>582</v>
      </c>
      <c r="C14" s="5" t="str">
        <f t="shared" ref="C14:C15" si="0">B$3&amp;" "&amp;B14</f>
        <v>Malkekøer, tung race Tyrekalv 0-1 mdr.</v>
      </c>
      <c r="D14" s="18" t="s">
        <v>583</v>
      </c>
      <c r="E14" s="21" t="s">
        <v>45</v>
      </c>
      <c r="F14" s="186" t="s">
        <v>674</v>
      </c>
      <c r="G14" s="85"/>
      <c r="H14" s="21" t="s">
        <v>582</v>
      </c>
      <c r="I14" s="5" t="str">
        <f t="shared" ref="I14:I15" si="1">H$3&amp;" "&amp;H14</f>
        <v>Malkekøer, jersey Tyrekalv 0-1 mdr.</v>
      </c>
      <c r="J14" s="18" t="s">
        <v>585</v>
      </c>
      <c r="K14" s="21" t="s">
        <v>46</v>
      </c>
      <c r="L14" s="18" t="s">
        <v>675</v>
      </c>
      <c r="M14" s="195"/>
    </row>
    <row r="15" spans="1:13" x14ac:dyDescent="0.25">
      <c r="A15" s="710"/>
      <c r="B15" s="29" t="s">
        <v>397</v>
      </c>
      <c r="C15" s="5" t="str">
        <f t="shared" si="0"/>
        <v>Malkekøer, tung race Tyrekalv 0-6 mdr.</v>
      </c>
      <c r="D15" s="23" t="s">
        <v>340</v>
      </c>
      <c r="E15" s="29" t="s">
        <v>45</v>
      </c>
      <c r="F15" s="23" t="s">
        <v>416</v>
      </c>
      <c r="H15" s="29" t="s">
        <v>397</v>
      </c>
      <c r="I15" s="5" t="str">
        <f t="shared" si="1"/>
        <v>Malkekøer, jersey Tyrekalv 0-6 mdr.</v>
      </c>
      <c r="J15" s="23" t="s">
        <v>348</v>
      </c>
      <c r="K15" s="29" t="s">
        <v>46</v>
      </c>
      <c r="L15" s="23" t="s">
        <v>416</v>
      </c>
    </row>
    <row r="16" spans="1:13" x14ac:dyDescent="0.25">
      <c r="K16" s="5"/>
    </row>
    <row r="17" spans="1:15" s="12" customFormat="1" x14ac:dyDescent="0.25">
      <c r="A17" s="712" t="s">
        <v>333</v>
      </c>
      <c r="B17" s="12" t="s">
        <v>120</v>
      </c>
      <c r="G17" s="51"/>
      <c r="H17" s="12" t="s">
        <v>121</v>
      </c>
    </row>
    <row r="18" spans="1:15" s="12" customFormat="1" x14ac:dyDescent="0.25">
      <c r="A18" s="712"/>
      <c r="B18" s="12" t="s">
        <v>150</v>
      </c>
      <c r="E18" s="56" t="s">
        <v>490</v>
      </c>
      <c r="F18" s="56" t="s">
        <v>489</v>
      </c>
      <c r="G18" s="51"/>
      <c r="H18" s="12" t="s">
        <v>150</v>
      </c>
      <c r="K18" s="56" t="s">
        <v>490</v>
      </c>
      <c r="L18" s="56" t="s">
        <v>489</v>
      </c>
    </row>
    <row r="19" spans="1:15" x14ac:dyDescent="0.25">
      <c r="A19" s="712"/>
      <c r="B19" s="25" t="s">
        <v>251</v>
      </c>
      <c r="C19" s="14" t="str">
        <f>B$17&amp;" "&amp;B19</f>
        <v>Malkekøer, tung race Køer</v>
      </c>
      <c r="D19" s="15" t="s">
        <v>313</v>
      </c>
      <c r="E19" s="185" t="s">
        <v>20</v>
      </c>
      <c r="F19" s="200" t="s">
        <v>416</v>
      </c>
      <c r="G19" s="85"/>
      <c r="H19" s="25" t="s">
        <v>251</v>
      </c>
      <c r="I19" s="178" t="str">
        <f>H$17&amp;" "&amp;H19</f>
        <v>Malkekøer, jersey Køer</v>
      </c>
      <c r="J19" s="200" t="s">
        <v>320</v>
      </c>
      <c r="K19" s="185" t="s">
        <v>31</v>
      </c>
      <c r="L19" s="200" t="s">
        <v>416</v>
      </c>
      <c r="M19" s="195"/>
    </row>
    <row r="20" spans="1:15" x14ac:dyDescent="0.25">
      <c r="A20" s="712"/>
      <c r="B20" s="21" t="s">
        <v>254</v>
      </c>
      <c r="C20" s="5" t="str">
        <f>B$17&amp;" "&amp;B20</f>
        <v>Malkekøer, tung race Kvier u. 18. mdr.</v>
      </c>
      <c r="D20" s="18" t="s">
        <v>314</v>
      </c>
      <c r="E20" s="96" t="s">
        <v>43</v>
      </c>
      <c r="F20" s="186" t="s">
        <v>506</v>
      </c>
      <c r="G20" s="85"/>
      <c r="H20" s="21" t="s">
        <v>254</v>
      </c>
      <c r="I20" s="85" t="str">
        <f>H$17&amp;" "&amp;H20</f>
        <v>Malkekøer, jersey Kvier u. 18. mdr.</v>
      </c>
      <c r="J20" s="186" t="s">
        <v>321</v>
      </c>
      <c r="K20" s="96" t="s">
        <v>44</v>
      </c>
      <c r="L20" s="472" t="s">
        <v>509</v>
      </c>
      <c r="M20" s="195"/>
    </row>
    <row r="21" spans="1:15" x14ac:dyDescent="0.25">
      <c r="A21" s="712"/>
      <c r="B21" s="21" t="s">
        <v>257</v>
      </c>
      <c r="C21" s="5" t="str">
        <f>B$17&amp;" "&amp;B21</f>
        <v>Malkekøer, tung race Kvier o. 18. mdr.</v>
      </c>
      <c r="D21" s="18" t="s">
        <v>315</v>
      </c>
      <c r="E21" s="96" t="s">
        <v>43</v>
      </c>
      <c r="F21" s="186" t="s">
        <v>507</v>
      </c>
      <c r="G21" s="85"/>
      <c r="H21" s="21" t="s">
        <v>257</v>
      </c>
      <c r="I21" s="85" t="str">
        <f>H$17&amp;" "&amp;H21</f>
        <v>Malkekøer, jersey Kvier o. 18. mdr.</v>
      </c>
      <c r="J21" s="186" t="s">
        <v>322</v>
      </c>
      <c r="K21" s="96" t="s">
        <v>44</v>
      </c>
      <c r="L21" s="472" t="s">
        <v>510</v>
      </c>
      <c r="M21" s="195"/>
    </row>
    <row r="22" spans="1:15" x14ac:dyDescent="0.25">
      <c r="A22" s="712"/>
      <c r="B22" s="21" t="s">
        <v>579</v>
      </c>
      <c r="C22" s="5" t="str">
        <f>B$17&amp;" "&amp;B22</f>
        <v>Malkekøer, tung race Kalve 0-1 mdr.</v>
      </c>
      <c r="D22" s="18" t="s">
        <v>316</v>
      </c>
      <c r="E22" s="96" t="s">
        <v>35</v>
      </c>
      <c r="F22" s="186" t="s">
        <v>301</v>
      </c>
      <c r="G22" s="85"/>
      <c r="H22" s="21" t="s">
        <v>579</v>
      </c>
      <c r="I22" s="85" t="str">
        <f>H$17&amp;" "&amp;H22</f>
        <v>Malkekøer, jersey Kalve 0-1 mdr.</v>
      </c>
      <c r="J22" s="186" t="s">
        <v>323</v>
      </c>
      <c r="K22" s="96" t="s">
        <v>37</v>
      </c>
      <c r="L22" s="186" t="s">
        <v>301</v>
      </c>
      <c r="M22" s="195"/>
    </row>
    <row r="23" spans="1:15" x14ac:dyDescent="0.25">
      <c r="A23" s="712"/>
      <c r="B23" s="21" t="s">
        <v>346</v>
      </c>
      <c r="C23" s="5" t="str">
        <f>B$3&amp;" "&amp;B23</f>
        <v>Malkekøer, tung race Kalve 0-6 mdr.</v>
      </c>
      <c r="D23" s="18" t="s">
        <v>349</v>
      </c>
      <c r="E23" s="96" t="s">
        <v>35</v>
      </c>
      <c r="F23" s="184" t="s">
        <v>416</v>
      </c>
      <c r="G23" s="85"/>
      <c r="H23" s="21" t="s">
        <v>346</v>
      </c>
      <c r="I23" s="85" t="str">
        <f>H$3&amp;" "&amp;H23</f>
        <v>Malkekøer, jersey Kalve 0-6 mdr.</v>
      </c>
      <c r="J23" s="186" t="s">
        <v>350</v>
      </c>
      <c r="K23" s="96" t="s">
        <v>37</v>
      </c>
      <c r="L23" s="184" t="s">
        <v>416</v>
      </c>
      <c r="M23" s="195"/>
    </row>
    <row r="24" spans="1:15" x14ac:dyDescent="0.25">
      <c r="A24" s="712"/>
      <c r="B24" s="21"/>
      <c r="C24" s="5"/>
      <c r="D24" s="18"/>
      <c r="E24" s="96"/>
      <c r="F24" s="186" t="s">
        <v>210</v>
      </c>
      <c r="G24" s="85"/>
      <c r="H24" s="21"/>
      <c r="I24" s="85"/>
      <c r="J24" s="186"/>
      <c r="K24" s="96"/>
      <c r="L24" s="186" t="s">
        <v>210</v>
      </c>
      <c r="M24" s="195"/>
    </row>
    <row r="25" spans="1:15" x14ac:dyDescent="0.25">
      <c r="A25" s="712"/>
      <c r="B25" s="21" t="s">
        <v>260</v>
      </c>
      <c r="C25" s="5" t="str">
        <f>B$17&amp;" "&amp;B25</f>
        <v>Malkekøer, tung race Tyre u. 12 mdr.</v>
      </c>
      <c r="D25" s="18" t="s">
        <v>317</v>
      </c>
      <c r="E25" s="96" t="s">
        <v>47</v>
      </c>
      <c r="F25" s="472" t="s">
        <v>511</v>
      </c>
      <c r="G25" s="85"/>
      <c r="H25" s="21" t="s">
        <v>260</v>
      </c>
      <c r="I25" s="85" t="str">
        <f>H$17&amp;" "&amp;H25</f>
        <v>Malkekøer, jersey Tyre u. 12 mdr.</v>
      </c>
      <c r="J25" s="186" t="s">
        <v>324</v>
      </c>
      <c r="K25" s="96" t="s">
        <v>48</v>
      </c>
      <c r="L25" s="472" t="s">
        <v>513</v>
      </c>
      <c r="M25" s="195"/>
    </row>
    <row r="26" spans="1:15" x14ac:dyDescent="0.25">
      <c r="A26" s="712"/>
      <c r="B26" s="21" t="s">
        <v>261</v>
      </c>
      <c r="C26" s="5" t="str">
        <f>B$17&amp;" "&amp;B26</f>
        <v>Malkekøer, tung race Tyre o. 12 mdr.</v>
      </c>
      <c r="D26" s="18" t="s">
        <v>318</v>
      </c>
      <c r="E26" s="96" t="s">
        <v>47</v>
      </c>
      <c r="F26" s="472" t="s">
        <v>512</v>
      </c>
      <c r="G26" s="85"/>
      <c r="H26" s="21" t="s">
        <v>261</v>
      </c>
      <c r="I26" s="85" t="str">
        <f>H$17&amp;" "&amp;H26</f>
        <v>Malkekøer, jersey Tyre o. 12 mdr.</v>
      </c>
      <c r="J26" s="186" t="s">
        <v>325</v>
      </c>
      <c r="K26" s="96" t="s">
        <v>48</v>
      </c>
      <c r="L26" s="472" t="s">
        <v>514</v>
      </c>
      <c r="M26" s="195"/>
    </row>
    <row r="27" spans="1:15" x14ac:dyDescent="0.25">
      <c r="A27" s="712"/>
      <c r="B27" s="21" t="s">
        <v>262</v>
      </c>
      <c r="C27" s="5" t="str">
        <f>B$17&amp;" "&amp;B27</f>
        <v>Malkekøer, tung race Stude</v>
      </c>
      <c r="D27" s="18" t="s">
        <v>319</v>
      </c>
      <c r="E27" s="96" t="s">
        <v>43</v>
      </c>
      <c r="F27" s="472" t="s">
        <v>508</v>
      </c>
      <c r="G27" s="85"/>
      <c r="H27" s="21" t="s">
        <v>262</v>
      </c>
      <c r="I27" s="85" t="str">
        <f>H$17&amp;" "&amp;H27</f>
        <v>Malkekøer, jersey Stude</v>
      </c>
      <c r="J27" s="186" t="s">
        <v>326</v>
      </c>
      <c r="K27" s="96" t="s">
        <v>44</v>
      </c>
      <c r="L27" s="472" t="s">
        <v>510</v>
      </c>
      <c r="M27" s="195"/>
    </row>
    <row r="28" spans="1:15" x14ac:dyDescent="0.25">
      <c r="A28" s="712"/>
      <c r="B28" s="21" t="s">
        <v>582</v>
      </c>
      <c r="C28" s="5" t="str">
        <f>B$17&amp;" "&amp;B28</f>
        <v>Malkekøer, tung race Tyrekalv 0-1 mdr.</v>
      </c>
      <c r="D28" s="18" t="s">
        <v>586</v>
      </c>
      <c r="E28" s="96" t="s">
        <v>45</v>
      </c>
      <c r="F28" s="186" t="s">
        <v>674</v>
      </c>
      <c r="G28" s="85"/>
      <c r="H28" s="21" t="s">
        <v>582</v>
      </c>
      <c r="I28" s="85" t="str">
        <f t="shared" ref="I28:I29" si="2">H$17&amp;" "&amp;H28</f>
        <v>Malkekøer, jersey Tyrekalv 0-1 mdr.</v>
      </c>
      <c r="J28" s="186" t="s">
        <v>587</v>
      </c>
      <c r="K28" s="96" t="s">
        <v>46</v>
      </c>
      <c r="L28" s="18" t="s">
        <v>675</v>
      </c>
      <c r="M28" s="195"/>
    </row>
    <row r="29" spans="1:15" x14ac:dyDescent="0.25">
      <c r="A29" s="712"/>
      <c r="B29" s="29" t="s">
        <v>397</v>
      </c>
      <c r="C29" s="5" t="str">
        <f>B$17&amp;" "&amp;B29</f>
        <v>Malkekøer, tung race Tyrekalv 0-6 mdr.</v>
      </c>
      <c r="D29" s="23" t="s">
        <v>351</v>
      </c>
      <c r="E29" s="122" t="s">
        <v>45</v>
      </c>
      <c r="F29" s="196" t="s">
        <v>416</v>
      </c>
      <c r="G29" s="85"/>
      <c r="H29" s="29" t="s">
        <v>397</v>
      </c>
      <c r="I29" s="85" t="str">
        <f t="shared" si="2"/>
        <v>Malkekøer, jersey Tyrekalv 0-6 mdr.</v>
      </c>
      <c r="J29" s="196" t="s">
        <v>352</v>
      </c>
      <c r="K29" s="122" t="s">
        <v>46</v>
      </c>
      <c r="L29" s="196" t="s">
        <v>416</v>
      </c>
      <c r="M29" s="195"/>
    </row>
    <row r="30" spans="1:15" x14ac:dyDescent="0.25">
      <c r="E30" s="195"/>
      <c r="F30" s="195"/>
      <c r="G30" s="85"/>
      <c r="H30" s="195"/>
      <c r="I30" s="195"/>
      <c r="J30" s="195"/>
      <c r="K30" s="85"/>
      <c r="L30" s="195"/>
      <c r="M30" s="473"/>
    </row>
    <row r="31" spans="1:15" s="12" customFormat="1" x14ac:dyDescent="0.25">
      <c r="A31" s="713" t="s">
        <v>334</v>
      </c>
      <c r="B31" s="12" t="s">
        <v>327</v>
      </c>
      <c r="G31" s="51"/>
      <c r="H31" s="12" t="s">
        <v>328</v>
      </c>
      <c r="L31" s="273"/>
      <c r="M31" s="273"/>
      <c r="N31" s="273"/>
      <c r="O31" s="273"/>
    </row>
    <row r="32" spans="1:15" s="12" customFormat="1" x14ac:dyDescent="0.25">
      <c r="A32" s="713"/>
      <c r="B32" s="12" t="s">
        <v>149</v>
      </c>
      <c r="E32" s="56" t="s">
        <v>490</v>
      </c>
      <c r="F32" s="56" t="s">
        <v>489</v>
      </c>
      <c r="G32" s="51"/>
      <c r="H32" s="12" t="s">
        <v>149</v>
      </c>
      <c r="K32" s="56" t="s">
        <v>490</v>
      </c>
      <c r="L32" s="56" t="s">
        <v>489</v>
      </c>
      <c r="M32" s="273"/>
      <c r="N32" s="273"/>
      <c r="O32" s="273"/>
    </row>
    <row r="33" spans="1:15" x14ac:dyDescent="0.25">
      <c r="A33" s="713"/>
      <c r="B33" s="433" t="s">
        <v>251</v>
      </c>
      <c r="C33" s="434" t="str">
        <f>B$31&amp;" "&amp;B33</f>
        <v>Malkekøer, tung race krydsning Køer</v>
      </c>
      <c r="D33" s="435"/>
      <c r="E33" s="436" t="s">
        <v>218</v>
      </c>
      <c r="F33" s="435" t="s">
        <v>416</v>
      </c>
      <c r="G33" s="437"/>
      <c r="H33" s="433" t="s">
        <v>251</v>
      </c>
      <c r="I33" s="434" t="str">
        <f>H$31&amp;" "&amp;H33</f>
        <v>Malkekøer, jersey krydsning Køer</v>
      </c>
      <c r="J33" s="435"/>
      <c r="K33" s="436" t="s">
        <v>218</v>
      </c>
      <c r="L33" s="15" t="s">
        <v>416</v>
      </c>
      <c r="M33" s="7"/>
      <c r="N33" s="7"/>
      <c r="O33" s="7"/>
    </row>
    <row r="34" spans="1:15" x14ac:dyDescent="0.25">
      <c r="A34" s="713"/>
      <c r="B34" s="21" t="s">
        <v>254</v>
      </c>
      <c r="C34" s="5" t="str">
        <f t="shared" ref="C34:C35" si="3">B$31&amp;" "&amp;B34</f>
        <v>Malkekøer, tung race krydsning Kvier u. 18. mdr.</v>
      </c>
      <c r="D34" s="18"/>
      <c r="E34" s="442" t="s">
        <v>43</v>
      </c>
      <c r="F34" s="18" t="s">
        <v>515</v>
      </c>
      <c r="H34" s="21" t="s">
        <v>254</v>
      </c>
      <c r="I34" s="5" t="str">
        <f t="shared" ref="I34:I35" si="4">H$31&amp;" "&amp;H34</f>
        <v>Malkekøer, jersey krydsning Kvier u. 18. mdr.</v>
      </c>
      <c r="J34" s="18"/>
      <c r="K34" s="442" t="s">
        <v>43</v>
      </c>
      <c r="L34" s="18" t="s">
        <v>519</v>
      </c>
      <c r="M34" s="7"/>
      <c r="N34" s="7"/>
      <c r="O34" s="7"/>
    </row>
    <row r="35" spans="1:15" x14ac:dyDescent="0.25">
      <c r="A35" s="713"/>
      <c r="B35" s="21" t="s">
        <v>257</v>
      </c>
      <c r="C35" s="5" t="str">
        <f t="shared" si="3"/>
        <v>Malkekøer, tung race krydsning Kvier o. 18. mdr.</v>
      </c>
      <c r="D35" s="18"/>
      <c r="E35" s="442" t="s">
        <v>43</v>
      </c>
      <c r="F35" s="18" t="s">
        <v>510</v>
      </c>
      <c r="H35" s="21" t="s">
        <v>257</v>
      </c>
      <c r="I35" s="5" t="str">
        <f t="shared" si="4"/>
        <v>Malkekøer, jersey krydsning Kvier o. 18. mdr.</v>
      </c>
      <c r="J35" s="18"/>
      <c r="K35" s="442" t="s">
        <v>43</v>
      </c>
      <c r="L35" s="18" t="s">
        <v>520</v>
      </c>
      <c r="M35" s="7"/>
      <c r="N35" s="7"/>
      <c r="O35" s="7"/>
    </row>
    <row r="36" spans="1:15" x14ac:dyDescent="0.25">
      <c r="A36" s="713"/>
      <c r="B36" s="21" t="s">
        <v>579</v>
      </c>
      <c r="C36" s="5" t="str">
        <f>B$31&amp;" "&amp;B36</f>
        <v>Malkekøer, tung race krydsning Kalve 0-1 mdr.</v>
      </c>
      <c r="D36" s="18"/>
      <c r="E36" s="442" t="s">
        <v>35</v>
      </c>
      <c r="F36" s="18" t="s">
        <v>301</v>
      </c>
      <c r="H36" s="21" t="s">
        <v>579</v>
      </c>
      <c r="I36" s="5" t="str">
        <f>H$31&amp;" "&amp;H36</f>
        <v>Malkekøer, jersey krydsning Kalve 0-1 mdr.</v>
      </c>
      <c r="J36" s="18"/>
      <c r="K36" s="442" t="s">
        <v>35</v>
      </c>
      <c r="L36" s="18" t="s">
        <v>301</v>
      </c>
      <c r="M36" s="7"/>
      <c r="N36" s="7"/>
      <c r="O36" s="7"/>
    </row>
    <row r="37" spans="1:15" x14ac:dyDescent="0.25">
      <c r="A37" s="713"/>
      <c r="B37" s="21" t="s">
        <v>346</v>
      </c>
      <c r="C37" s="5" t="str">
        <f>B$31&amp;" "&amp;B37</f>
        <v>Malkekøer, tung race krydsning Kalve 0-6 mdr.</v>
      </c>
      <c r="D37" s="18"/>
      <c r="E37" s="442" t="s">
        <v>35</v>
      </c>
      <c r="F37" s="53" t="s">
        <v>416</v>
      </c>
      <c r="H37" s="21" t="s">
        <v>346</v>
      </c>
      <c r="I37" s="5" t="str">
        <f>H$31&amp;" "&amp;H37</f>
        <v>Malkekøer, jersey krydsning Kalve 0-6 mdr.</v>
      </c>
      <c r="J37" s="18"/>
      <c r="K37" s="442" t="s">
        <v>35</v>
      </c>
      <c r="L37" s="53" t="s">
        <v>416</v>
      </c>
      <c r="M37" s="7"/>
      <c r="N37" s="7"/>
      <c r="O37" s="7"/>
    </row>
    <row r="38" spans="1:15" x14ac:dyDescent="0.25">
      <c r="A38" s="713"/>
      <c r="B38" s="21"/>
      <c r="C38" s="5"/>
      <c r="D38" s="18"/>
      <c r="E38" s="442"/>
      <c r="F38" s="18"/>
      <c r="H38" s="21"/>
      <c r="I38" s="5"/>
      <c r="J38" s="18"/>
      <c r="K38" s="442"/>
      <c r="L38" s="18"/>
      <c r="M38" s="7"/>
      <c r="N38" s="7"/>
      <c r="O38" s="7"/>
    </row>
    <row r="39" spans="1:15" x14ac:dyDescent="0.25">
      <c r="A39" s="713"/>
      <c r="B39" s="21" t="s">
        <v>260</v>
      </c>
      <c r="C39" s="5" t="str">
        <f>B$31&amp;" "&amp;B39</f>
        <v>Malkekøer, tung race krydsning Tyre u. 12 mdr.</v>
      </c>
      <c r="D39" s="18"/>
      <c r="E39" s="442" t="s">
        <v>47</v>
      </c>
      <c r="F39" s="360" t="s">
        <v>575</v>
      </c>
      <c r="G39" s="7"/>
      <c r="H39" s="38" t="s">
        <v>260</v>
      </c>
      <c r="I39" s="7" t="str">
        <f>H$31&amp;" "&amp;H39</f>
        <v>Malkekøer, jersey krydsning Tyre u. 12 mdr.</v>
      </c>
      <c r="J39" s="53"/>
      <c r="K39" s="442" t="s">
        <v>47</v>
      </c>
      <c r="L39" s="360" t="s">
        <v>577</v>
      </c>
      <c r="M39" s="7"/>
      <c r="N39" s="7"/>
      <c r="O39" s="7"/>
    </row>
    <row r="40" spans="1:15" x14ac:dyDescent="0.25">
      <c r="A40" s="713"/>
      <c r="B40" s="21" t="s">
        <v>261</v>
      </c>
      <c r="C40" s="5" t="str">
        <f>B$31&amp;" "&amp;B40</f>
        <v>Malkekøer, tung race krydsning Tyre o. 12 mdr.</v>
      </c>
      <c r="D40" s="18"/>
      <c r="E40" s="442" t="s">
        <v>47</v>
      </c>
      <c r="F40" s="360" t="s">
        <v>576</v>
      </c>
      <c r="G40" s="7"/>
      <c r="H40" s="38" t="s">
        <v>261</v>
      </c>
      <c r="I40" s="7" t="str">
        <f>H$31&amp;" "&amp;H40</f>
        <v>Malkekøer, jersey krydsning Tyre o. 12 mdr.</v>
      </c>
      <c r="J40" s="53"/>
      <c r="K40" s="442" t="s">
        <v>47</v>
      </c>
      <c r="L40" s="360" t="s">
        <v>578</v>
      </c>
      <c r="M40" s="7"/>
      <c r="N40" s="7"/>
      <c r="O40" s="7"/>
    </row>
    <row r="41" spans="1:15" x14ac:dyDescent="0.25">
      <c r="A41" s="713"/>
      <c r="B41" s="21" t="s">
        <v>262</v>
      </c>
      <c r="C41" s="5" t="str">
        <f>B$31&amp;" "&amp;B41</f>
        <v>Malkekøer, tung race krydsning Stude</v>
      </c>
      <c r="D41" s="18"/>
      <c r="E41" s="442" t="s">
        <v>43</v>
      </c>
      <c r="F41" s="360" t="s">
        <v>516</v>
      </c>
      <c r="G41" s="7"/>
      <c r="H41" s="38" t="s">
        <v>262</v>
      </c>
      <c r="I41" s="7" t="str">
        <f>H$31&amp;" "&amp;H41</f>
        <v>Malkekøer, jersey krydsning Stude</v>
      </c>
      <c r="J41" s="53"/>
      <c r="K41" s="442" t="s">
        <v>43</v>
      </c>
      <c r="L41" s="360" t="s">
        <v>521</v>
      </c>
      <c r="M41" s="7"/>
      <c r="N41" s="7"/>
      <c r="O41" s="7"/>
    </row>
    <row r="42" spans="1:15" x14ac:dyDescent="0.25">
      <c r="A42" s="713"/>
      <c r="B42" s="21" t="s">
        <v>582</v>
      </c>
      <c r="C42" s="5" t="s">
        <v>329</v>
      </c>
      <c r="D42" s="18"/>
      <c r="E42" s="442" t="s">
        <v>45</v>
      </c>
      <c r="F42" s="360" t="s">
        <v>677</v>
      </c>
      <c r="G42" s="360"/>
      <c r="H42" s="21" t="s">
        <v>582</v>
      </c>
      <c r="I42" s="7" t="s">
        <v>330</v>
      </c>
      <c r="J42" s="53"/>
      <c r="K42" s="442" t="s">
        <v>45</v>
      </c>
      <c r="L42" s="360" t="s">
        <v>676</v>
      </c>
      <c r="M42" s="553"/>
      <c r="N42" s="7"/>
      <c r="O42" s="7"/>
    </row>
    <row r="43" spans="1:15" x14ac:dyDescent="0.25">
      <c r="A43" s="713"/>
      <c r="B43" s="29" t="s">
        <v>397</v>
      </c>
      <c r="C43" s="22" t="s">
        <v>353</v>
      </c>
      <c r="D43" s="23"/>
      <c r="E43" s="443" t="s">
        <v>45</v>
      </c>
      <c r="F43" s="348" t="s">
        <v>416</v>
      </c>
      <c r="G43" s="7"/>
      <c r="H43" s="347" t="s">
        <v>397</v>
      </c>
      <c r="I43" s="356" t="s">
        <v>354</v>
      </c>
      <c r="J43" s="348"/>
      <c r="K43" s="443" t="s">
        <v>45</v>
      </c>
      <c r="L43" s="348" t="s">
        <v>416</v>
      </c>
      <c r="M43" s="7"/>
      <c r="N43" s="7"/>
      <c r="O43" s="7"/>
    </row>
    <row r="44" spans="1:15" x14ac:dyDescent="0.25">
      <c r="F44" s="134"/>
      <c r="G44" s="7"/>
      <c r="H44" s="134"/>
      <c r="I44" s="134"/>
      <c r="J44" s="134"/>
      <c r="K44" s="134"/>
      <c r="L44" s="7"/>
      <c r="M44" s="7"/>
      <c r="N44" s="7"/>
      <c r="O44" s="7"/>
    </row>
    <row r="45" spans="1:15" s="12" customFormat="1" x14ac:dyDescent="0.25">
      <c r="A45" s="714" t="s">
        <v>335</v>
      </c>
      <c r="B45" s="12" t="s">
        <v>327</v>
      </c>
      <c r="F45" s="273"/>
      <c r="G45" s="274"/>
      <c r="H45" s="273" t="s">
        <v>328</v>
      </c>
      <c r="I45" s="273"/>
      <c r="J45" s="273"/>
      <c r="K45" s="273"/>
      <c r="L45" s="274"/>
      <c r="M45" s="274"/>
      <c r="N45" s="274"/>
      <c r="O45" s="274"/>
    </row>
    <row r="46" spans="1:15" s="12" customFormat="1" x14ac:dyDescent="0.25">
      <c r="A46" s="714"/>
      <c r="B46" s="12" t="s">
        <v>150</v>
      </c>
      <c r="E46" s="56" t="s">
        <v>490</v>
      </c>
      <c r="F46" s="310" t="s">
        <v>489</v>
      </c>
      <c r="G46" s="274"/>
      <c r="H46" s="273" t="s">
        <v>150</v>
      </c>
      <c r="I46" s="273"/>
      <c r="J46" s="273"/>
      <c r="K46" s="310" t="s">
        <v>490</v>
      </c>
      <c r="L46" s="310" t="s">
        <v>489</v>
      </c>
      <c r="M46" s="274"/>
      <c r="N46" s="274"/>
      <c r="O46" s="274"/>
    </row>
    <row r="47" spans="1:15" x14ac:dyDescent="0.25">
      <c r="A47" s="714"/>
      <c r="B47" s="433" t="s">
        <v>251</v>
      </c>
      <c r="C47" s="434" t="str">
        <f>B$45&amp;" "&amp;B47</f>
        <v>Malkekøer, tung race krydsning Køer</v>
      </c>
      <c r="D47" s="435"/>
      <c r="E47" s="436" t="s">
        <v>218</v>
      </c>
      <c r="F47" s="438" t="s">
        <v>416</v>
      </c>
      <c r="G47" s="439"/>
      <c r="H47" s="440" t="s">
        <v>251</v>
      </c>
      <c r="I47" s="441" t="str">
        <f>H$45&amp;" "&amp;H47</f>
        <v>Malkekøer, jersey krydsning Køer</v>
      </c>
      <c r="J47" s="438"/>
      <c r="K47" s="436" t="s">
        <v>218</v>
      </c>
      <c r="L47" s="438" t="s">
        <v>416</v>
      </c>
      <c r="M47" s="7"/>
      <c r="N47" s="7"/>
      <c r="O47" s="7"/>
    </row>
    <row r="48" spans="1:15" x14ac:dyDescent="0.25">
      <c r="A48" s="714"/>
      <c r="B48" s="21" t="s">
        <v>254</v>
      </c>
      <c r="C48" s="5" t="str">
        <f>B$45&amp;" "&amp;B48</f>
        <v>Malkekøer, tung race krydsning Kvier u. 18. mdr.</v>
      </c>
      <c r="D48" s="18"/>
      <c r="E48" s="442" t="s">
        <v>43</v>
      </c>
      <c r="F48" s="18" t="s">
        <v>517</v>
      </c>
      <c r="G48" s="7"/>
      <c r="H48" s="38" t="s">
        <v>254</v>
      </c>
      <c r="I48" s="7" t="str">
        <f>H$45&amp;" "&amp;H48</f>
        <v>Malkekøer, jersey krydsning Kvier u. 18. mdr.</v>
      </c>
      <c r="J48" s="53"/>
      <c r="K48" s="442" t="s">
        <v>43</v>
      </c>
      <c r="L48" s="18" t="s">
        <v>522</v>
      </c>
      <c r="M48" s="7"/>
      <c r="N48" s="7"/>
      <c r="O48" s="7"/>
    </row>
    <row r="49" spans="1:15" x14ac:dyDescent="0.25">
      <c r="A49" s="714"/>
      <c r="B49" s="21" t="s">
        <v>257</v>
      </c>
      <c r="C49" s="5" t="str">
        <f>B$45&amp;" "&amp;B49</f>
        <v>Malkekøer, tung race krydsning Kvier o. 18. mdr.</v>
      </c>
      <c r="D49" s="18"/>
      <c r="E49" s="442" t="s">
        <v>43</v>
      </c>
      <c r="F49" s="18" t="s">
        <v>518</v>
      </c>
      <c r="G49" s="7"/>
      <c r="H49" s="38" t="s">
        <v>257</v>
      </c>
      <c r="I49" s="7" t="str">
        <f>H$45&amp;" "&amp;H49</f>
        <v>Malkekøer, jersey krydsning Kvier o. 18. mdr.</v>
      </c>
      <c r="J49" s="53"/>
      <c r="K49" s="442" t="s">
        <v>43</v>
      </c>
      <c r="L49" s="18" t="s">
        <v>523</v>
      </c>
      <c r="M49" s="7"/>
      <c r="N49" s="7"/>
      <c r="O49" s="7"/>
    </row>
    <row r="50" spans="1:15" x14ac:dyDescent="0.25">
      <c r="A50" s="714"/>
      <c r="B50" s="21" t="s">
        <v>579</v>
      </c>
      <c r="C50" s="5" t="str">
        <f>B$45&amp;" "&amp;B50</f>
        <v>Malkekøer, tung race krydsning Kalve 0-1 mdr.</v>
      </c>
      <c r="D50" s="18"/>
      <c r="E50" s="442" t="s">
        <v>35</v>
      </c>
      <c r="F50" s="53" t="s">
        <v>301</v>
      </c>
      <c r="G50" s="7"/>
      <c r="H50" s="21" t="s">
        <v>579</v>
      </c>
      <c r="I50" s="7" t="str">
        <f>H$45&amp;" "&amp;H50</f>
        <v>Malkekøer, jersey krydsning Kalve 0-1 mdr.</v>
      </c>
      <c r="J50" s="53"/>
      <c r="K50" s="442" t="s">
        <v>35</v>
      </c>
      <c r="L50" s="18" t="s">
        <v>301</v>
      </c>
      <c r="M50" s="7"/>
      <c r="N50" s="7"/>
      <c r="O50" s="7"/>
    </row>
    <row r="51" spans="1:15" x14ac:dyDescent="0.25">
      <c r="A51" s="714"/>
      <c r="B51" s="21" t="s">
        <v>346</v>
      </c>
      <c r="C51" s="5" t="str">
        <f>B$45&amp;" "&amp;B51</f>
        <v>Malkekøer, tung race krydsning Kalve 0-6 mdr.</v>
      </c>
      <c r="D51" s="18"/>
      <c r="E51" s="442" t="s">
        <v>35</v>
      </c>
      <c r="F51" s="53" t="s">
        <v>416</v>
      </c>
      <c r="G51" s="7"/>
      <c r="H51" s="38" t="s">
        <v>346</v>
      </c>
      <c r="I51" s="7" t="str">
        <f>H$45&amp;" "&amp;H51</f>
        <v>Malkekøer, jersey krydsning Kalve 0-6 mdr.</v>
      </c>
      <c r="J51" s="53"/>
      <c r="K51" s="442" t="s">
        <v>35</v>
      </c>
      <c r="L51" s="53" t="s">
        <v>416</v>
      </c>
      <c r="M51" s="7"/>
      <c r="N51" s="7"/>
      <c r="O51" s="7"/>
    </row>
    <row r="52" spans="1:15" x14ac:dyDescent="0.25">
      <c r="A52" s="714"/>
      <c r="B52" s="21"/>
      <c r="C52" s="5"/>
      <c r="D52" s="18"/>
      <c r="E52" s="442"/>
      <c r="F52" s="53"/>
      <c r="G52" s="7"/>
      <c r="H52" s="38"/>
      <c r="I52" s="7"/>
      <c r="J52" s="53"/>
      <c r="K52" s="442"/>
      <c r="L52" s="18"/>
      <c r="M52" s="7"/>
      <c r="N52" s="7"/>
      <c r="O52" s="7"/>
    </row>
    <row r="53" spans="1:15" x14ac:dyDescent="0.25">
      <c r="A53" s="714"/>
      <c r="B53" s="21" t="s">
        <v>260</v>
      </c>
      <c r="C53" s="5" t="str">
        <f>B$45&amp;" "&amp;B53</f>
        <v>Malkekøer, tung race krydsning Tyre u. 12 mdr.</v>
      </c>
      <c r="D53" s="18"/>
      <c r="E53" s="442" t="s">
        <v>47</v>
      </c>
      <c r="F53" s="360" t="s">
        <v>571</v>
      </c>
      <c r="G53" s="7"/>
      <c r="H53" s="38" t="s">
        <v>260</v>
      </c>
      <c r="I53" s="7" t="str">
        <f>H$45&amp;" "&amp;H53</f>
        <v>Malkekøer, jersey krydsning Tyre u. 12 mdr.</v>
      </c>
      <c r="J53" s="53"/>
      <c r="K53" s="442" t="s">
        <v>47</v>
      </c>
      <c r="L53" s="360" t="s">
        <v>573</v>
      </c>
      <c r="M53" s="7"/>
      <c r="N53" s="7"/>
      <c r="O53" s="7"/>
    </row>
    <row r="54" spans="1:15" x14ac:dyDescent="0.25">
      <c r="A54" s="714"/>
      <c r="B54" s="21" t="s">
        <v>261</v>
      </c>
      <c r="C54" s="5" t="str">
        <f>B$45&amp;" "&amp;B54</f>
        <v>Malkekøer, tung race krydsning Tyre o. 12 mdr.</v>
      </c>
      <c r="D54" s="18"/>
      <c r="E54" s="442" t="s">
        <v>47</v>
      </c>
      <c r="F54" s="360" t="s">
        <v>572</v>
      </c>
      <c r="G54" s="7"/>
      <c r="H54" s="38" t="s">
        <v>261</v>
      </c>
      <c r="I54" s="7" t="str">
        <f>H$45&amp;" "&amp;H54</f>
        <v>Malkekøer, jersey krydsning Tyre o. 12 mdr.</v>
      </c>
      <c r="J54" s="53"/>
      <c r="K54" s="442" t="s">
        <v>47</v>
      </c>
      <c r="L54" s="360" t="s">
        <v>574</v>
      </c>
      <c r="M54" s="7"/>
      <c r="N54" s="7"/>
      <c r="O54" s="7"/>
    </row>
    <row r="55" spans="1:15" x14ac:dyDescent="0.25">
      <c r="A55" s="714"/>
      <c r="B55" s="21" t="s">
        <v>262</v>
      </c>
      <c r="C55" s="5" t="str">
        <f>B$45&amp;" "&amp;B55</f>
        <v>Malkekøer, tung race krydsning Stude</v>
      </c>
      <c r="D55" s="18"/>
      <c r="E55" s="442" t="s">
        <v>43</v>
      </c>
      <c r="F55" s="360" t="s">
        <v>516</v>
      </c>
      <c r="G55" s="7"/>
      <c r="H55" s="38" t="s">
        <v>262</v>
      </c>
      <c r="I55" s="7" t="str">
        <f>H$45&amp;" "&amp;H55</f>
        <v>Malkekøer, jersey krydsning Stude</v>
      </c>
      <c r="J55" s="53"/>
      <c r="K55" s="442" t="s">
        <v>43</v>
      </c>
      <c r="L55" s="360" t="s">
        <v>524</v>
      </c>
      <c r="M55" s="7"/>
      <c r="N55" s="7"/>
      <c r="O55" s="7"/>
    </row>
    <row r="56" spans="1:15" x14ac:dyDescent="0.25">
      <c r="A56" s="714"/>
      <c r="B56" s="21" t="s">
        <v>582</v>
      </c>
      <c r="C56" s="5" t="s">
        <v>329</v>
      </c>
      <c r="D56" s="18"/>
      <c r="E56" s="442" t="s">
        <v>45</v>
      </c>
      <c r="F56" s="360" t="s">
        <v>677</v>
      </c>
      <c r="G56" s="360"/>
      <c r="H56" s="21" t="s">
        <v>582</v>
      </c>
      <c r="I56" s="7" t="s">
        <v>330</v>
      </c>
      <c r="J56" s="53"/>
      <c r="K56" s="442" t="s">
        <v>45</v>
      </c>
      <c r="L56" s="360" t="s">
        <v>676</v>
      </c>
      <c r="M56" s="360"/>
      <c r="N56" s="7"/>
      <c r="O56" s="7"/>
    </row>
    <row r="57" spans="1:15" x14ac:dyDescent="0.25">
      <c r="A57" s="714"/>
      <c r="B57" s="29" t="s">
        <v>397</v>
      </c>
      <c r="C57" s="22" t="s">
        <v>353</v>
      </c>
      <c r="D57" s="23"/>
      <c r="E57" s="443" t="s">
        <v>45</v>
      </c>
      <c r="F57" s="23" t="s">
        <v>416</v>
      </c>
      <c r="H57" s="29" t="s">
        <v>397</v>
      </c>
      <c r="I57" s="22" t="s">
        <v>354</v>
      </c>
      <c r="J57" s="23"/>
      <c r="K57" s="443" t="s">
        <v>45</v>
      </c>
      <c r="L57" s="23" t="s">
        <v>416</v>
      </c>
      <c r="M57" s="7"/>
      <c r="N57" s="7"/>
      <c r="O57" s="7"/>
    </row>
    <row r="58" spans="1:15" x14ac:dyDescent="0.25">
      <c r="M58" s="134"/>
      <c r="N58" s="134"/>
      <c r="O58" s="134"/>
    </row>
    <row r="59" spans="1:15" x14ac:dyDescent="0.25">
      <c r="A59" s="711" t="s">
        <v>336</v>
      </c>
      <c r="B59" s="12" t="s">
        <v>250</v>
      </c>
      <c r="C59" s="12"/>
      <c r="D59" s="12"/>
      <c r="E59" s="12"/>
      <c r="F59" s="12"/>
      <c r="G59" s="51"/>
      <c r="H59" s="273" t="s">
        <v>250</v>
      </c>
      <c r="I59" s="273"/>
      <c r="J59" s="273"/>
      <c r="K59" s="274"/>
      <c r="L59" s="274"/>
    </row>
    <row r="60" spans="1:15" x14ac:dyDescent="0.25">
      <c r="A60" s="711"/>
      <c r="B60" s="12" t="s">
        <v>303</v>
      </c>
      <c r="C60" s="12"/>
      <c r="D60" s="12"/>
      <c r="E60" s="56" t="s">
        <v>490</v>
      </c>
      <c r="F60" s="56" t="s">
        <v>489</v>
      </c>
      <c r="G60" s="51"/>
      <c r="H60" s="273" t="s">
        <v>302</v>
      </c>
      <c r="I60" s="273"/>
      <c r="J60" s="273"/>
      <c r="K60" s="310" t="s">
        <v>490</v>
      </c>
      <c r="L60" s="310" t="s">
        <v>489</v>
      </c>
      <c r="M60" s="12"/>
    </row>
    <row r="61" spans="1:15" x14ac:dyDescent="0.25">
      <c r="A61" s="711"/>
      <c r="B61" s="346" t="s">
        <v>441</v>
      </c>
      <c r="C61" s="355" t="str">
        <f>B$59&amp;" "&amp;B61</f>
        <v>Kødkvæg Køer, int</v>
      </c>
      <c r="D61" s="58" t="s">
        <v>309</v>
      </c>
      <c r="E61" s="346" t="s">
        <v>51</v>
      </c>
      <c r="F61" s="58" t="s">
        <v>416</v>
      </c>
      <c r="H61" s="346" t="s">
        <v>449</v>
      </c>
      <c r="I61" s="355" t="str">
        <f>H$59&amp;" "&amp;H61</f>
        <v>Kødkvæg Køer, ext</v>
      </c>
      <c r="J61" s="58" t="s">
        <v>305</v>
      </c>
      <c r="K61" s="346" t="s">
        <v>50</v>
      </c>
      <c r="L61" s="58" t="s">
        <v>416</v>
      </c>
      <c r="M61" s="7"/>
    </row>
    <row r="62" spans="1:15" x14ac:dyDescent="0.25">
      <c r="A62" s="711"/>
      <c r="B62" s="38" t="s">
        <v>442</v>
      </c>
      <c r="C62" s="7" t="str">
        <f>B$59&amp;" "&amp;B62</f>
        <v>Kødkvæg Kvier u. 18. mdr., int</v>
      </c>
      <c r="D62" s="53" t="s">
        <v>310</v>
      </c>
      <c r="E62" s="38" t="s">
        <v>43</v>
      </c>
      <c r="F62" s="53" t="s">
        <v>488</v>
      </c>
      <c r="H62" s="38" t="s">
        <v>450</v>
      </c>
      <c r="I62" s="7" t="str">
        <f>H$59&amp;" "&amp;H62</f>
        <v>Kødkvæg Kvier u. 18. mdr., ext</v>
      </c>
      <c r="J62" s="53" t="s">
        <v>306</v>
      </c>
      <c r="K62" s="38" t="s">
        <v>438</v>
      </c>
      <c r="L62" s="53" t="s">
        <v>485</v>
      </c>
    </row>
    <row r="63" spans="1:15" x14ac:dyDescent="0.25">
      <c r="A63" s="711"/>
      <c r="B63" s="38" t="s">
        <v>443</v>
      </c>
      <c r="C63" s="7" t="str">
        <f>B$59&amp;" "&amp;B63</f>
        <v>Kødkvæg Kvier o. 18. mdr., int</v>
      </c>
      <c r="D63" s="53" t="s">
        <v>311</v>
      </c>
      <c r="E63" s="38" t="s">
        <v>43</v>
      </c>
      <c r="F63" s="53" t="s">
        <v>487</v>
      </c>
      <c r="H63" s="38" t="s">
        <v>451</v>
      </c>
      <c r="I63" s="7" t="str">
        <f>H$59&amp;" "&amp;H63</f>
        <v>Kødkvæg Kvier o. 18. mdr., ext</v>
      </c>
      <c r="J63" s="53" t="s">
        <v>307</v>
      </c>
      <c r="K63" s="38" t="s">
        <v>438</v>
      </c>
      <c r="L63" s="53" t="s">
        <v>493</v>
      </c>
    </row>
    <row r="64" spans="1:15" x14ac:dyDescent="0.25">
      <c r="A64" s="711"/>
      <c r="B64" s="38" t="s">
        <v>444</v>
      </c>
      <c r="C64" s="7" t="str">
        <f>B$59&amp;" "&amp;B64</f>
        <v>Kødkvæg Kalve 0-6 mdr., int</v>
      </c>
      <c r="D64" s="53" t="s">
        <v>429</v>
      </c>
      <c r="E64" s="38" t="s">
        <v>35</v>
      </c>
      <c r="F64" s="53" t="s">
        <v>416</v>
      </c>
      <c r="H64" s="38" t="s">
        <v>452</v>
      </c>
      <c r="I64" s="7" t="str">
        <f>H$59&amp;" "&amp;H64</f>
        <v>Kødkvæg Kalve 0-6 mdr., ext</v>
      </c>
      <c r="J64" s="53" t="s">
        <v>430</v>
      </c>
      <c r="K64" s="38" t="s">
        <v>119</v>
      </c>
      <c r="L64" s="53" t="s">
        <v>416</v>
      </c>
    </row>
    <row r="65" spans="1:13" x14ac:dyDescent="0.25">
      <c r="A65" s="711"/>
      <c r="B65" s="38"/>
      <c r="C65" s="7"/>
      <c r="D65" s="53"/>
      <c r="E65" s="38"/>
      <c r="F65" s="53"/>
      <c r="H65" s="38"/>
      <c r="I65" s="7"/>
      <c r="J65" s="53"/>
      <c r="K65" s="38"/>
      <c r="L65" s="53"/>
      <c r="M65" s="7"/>
    </row>
    <row r="66" spans="1:13" x14ac:dyDescent="0.25">
      <c r="A66" s="711"/>
      <c r="B66" s="38" t="s">
        <v>445</v>
      </c>
      <c r="C66" s="7" t="str">
        <f>B$59&amp;" "&amp;B66</f>
        <v>Kødkvæg Tyre u. 12 mdr., int</v>
      </c>
      <c r="D66" s="53" t="s">
        <v>432</v>
      </c>
      <c r="E66" s="38" t="s">
        <v>47</v>
      </c>
      <c r="F66" s="53" t="s">
        <v>483</v>
      </c>
      <c r="H66" s="38" t="s">
        <v>453</v>
      </c>
      <c r="I66" s="7" t="str">
        <f>H$59&amp;" "&amp;H66</f>
        <v>Kødkvæg Tyre u. 12 mdr., ext</v>
      </c>
      <c r="J66" s="53" t="s">
        <v>434</v>
      </c>
      <c r="K66" s="38" t="s">
        <v>436</v>
      </c>
      <c r="L66" s="53" t="s">
        <v>492</v>
      </c>
    </row>
    <row r="67" spans="1:13" x14ac:dyDescent="0.25">
      <c r="A67" s="711"/>
      <c r="B67" s="38" t="s">
        <v>446</v>
      </c>
      <c r="C67" s="7" t="str">
        <f>B$59&amp;" "&amp;B67</f>
        <v>Kødkvæg Tyre o. 12 mdr., int</v>
      </c>
      <c r="D67" s="53" t="s">
        <v>433</v>
      </c>
      <c r="E67" s="38" t="s">
        <v>47</v>
      </c>
      <c r="F67" s="53" t="s">
        <v>484</v>
      </c>
      <c r="H67" s="38" t="s">
        <v>454</v>
      </c>
      <c r="I67" s="7" t="str">
        <f>H$59&amp;" "&amp;H67</f>
        <v>Kødkvæg Tyre o. 12 mdr., ext</v>
      </c>
      <c r="J67" s="53" t="s">
        <v>435</v>
      </c>
      <c r="K67" s="38" t="s">
        <v>436</v>
      </c>
      <c r="L67" s="53" t="s">
        <v>494</v>
      </c>
    </row>
    <row r="68" spans="1:13" x14ac:dyDescent="0.25">
      <c r="A68" s="711"/>
      <c r="B68" s="38" t="s">
        <v>447</v>
      </c>
      <c r="C68" s="7" t="str">
        <f>B$59&amp;" "&amp;B68</f>
        <v>Kødkvæg Stude, int</v>
      </c>
      <c r="D68" s="53" t="s">
        <v>312</v>
      </c>
      <c r="E68" s="38" t="s">
        <v>43</v>
      </c>
      <c r="F68" s="53" t="s">
        <v>486</v>
      </c>
      <c r="H68" s="38" t="s">
        <v>455</v>
      </c>
      <c r="I68" s="7" t="str">
        <f>H$59&amp;" "&amp;H68</f>
        <v>Kødkvæg Stude, ext</v>
      </c>
      <c r="J68" s="53" t="s">
        <v>308</v>
      </c>
      <c r="K68" s="38" t="s">
        <v>438</v>
      </c>
      <c r="L68" s="53" t="s">
        <v>491</v>
      </c>
    </row>
    <row r="69" spans="1:13" x14ac:dyDescent="0.25">
      <c r="A69" s="711"/>
      <c r="B69" s="347" t="s">
        <v>495</v>
      </c>
      <c r="C69" s="356" t="str">
        <f>B$59&amp;" "&amp;B69</f>
        <v>Kødkvæg Tyrekalv 0-6 mdr., int</v>
      </c>
      <c r="D69" s="348" t="s">
        <v>428</v>
      </c>
      <c r="E69" s="347" t="s">
        <v>45</v>
      </c>
      <c r="F69" s="348" t="s">
        <v>416</v>
      </c>
      <c r="H69" s="347" t="s">
        <v>496</v>
      </c>
      <c r="I69" s="356" t="str">
        <f>H$59&amp;" "&amp;H69</f>
        <v>Kødkvæg Tyrekalv 0-6 mdr., ext</v>
      </c>
      <c r="J69" s="348" t="s">
        <v>431</v>
      </c>
      <c r="K69" s="347" t="s">
        <v>437</v>
      </c>
      <c r="L69" s="348" t="s">
        <v>416</v>
      </c>
    </row>
    <row r="70" spans="1:13" x14ac:dyDescent="0.25">
      <c r="B70" s="134"/>
      <c r="C70" s="134"/>
      <c r="D70" s="134"/>
      <c r="E70" s="7"/>
      <c r="F70" s="7"/>
    </row>
    <row r="71" spans="1:13" x14ac:dyDescent="0.25">
      <c r="G71" s="51"/>
      <c r="L71" s="12"/>
    </row>
    <row r="72" spans="1:13" x14ac:dyDescent="0.25">
      <c r="G72" s="51"/>
      <c r="L72" s="12"/>
      <c r="M72" s="12"/>
    </row>
    <row r="73" spans="1:13" x14ac:dyDescent="0.25">
      <c r="M73" s="7"/>
    </row>
    <row r="82" spans="5:6" x14ac:dyDescent="0.25">
      <c r="E82" s="5"/>
      <c r="F82" s="5"/>
    </row>
    <row r="83" spans="5:6" x14ac:dyDescent="0.25">
      <c r="E83" s="5"/>
      <c r="F83" s="5"/>
    </row>
  </sheetData>
  <sheetProtection algorithmName="SHA-512" hashValue="cIOimMeY0Jyk8NbPRVQkt3QePw/FygcWb5Pyp4KX/vL6xJ6S9lmdKwHT1ifeIUutOBKz5qi3rz8dF/9UPlCODw==" saltValue="QM4TPktuONIF5WqGGJqwLA==" spinCount="100000" sheet="1" objects="1" scenarios="1"/>
  <mergeCells count="7">
    <mergeCell ref="B2:F2"/>
    <mergeCell ref="H2:L2"/>
    <mergeCell ref="A3:A15"/>
    <mergeCell ref="A59:A69"/>
    <mergeCell ref="A17:A29"/>
    <mergeCell ref="A31:A43"/>
    <mergeCell ref="A45:A57"/>
  </mergeCells>
  <phoneticPr fontId="1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1AC56-1C0C-414C-B412-AF1B43EA2919}">
  <sheetPr>
    <tabColor theme="6" tint="0.79998168889431442"/>
  </sheetPr>
  <dimension ref="A1:U75"/>
  <sheetViews>
    <sheetView zoomScale="70" zoomScaleNormal="70" workbookViewId="0">
      <selection activeCell="E34" sqref="E34"/>
    </sheetView>
  </sheetViews>
  <sheetFormatPr defaultRowHeight="15" x14ac:dyDescent="0.25"/>
  <cols>
    <col min="2" max="2" width="67.7109375" customWidth="1"/>
    <col min="3" max="3" width="44.85546875" customWidth="1"/>
    <col min="4" max="4" width="22.5703125" customWidth="1"/>
    <col min="5" max="5" width="22.140625" customWidth="1"/>
    <col min="6" max="6" width="31" customWidth="1"/>
    <col min="7" max="7" width="22.140625" customWidth="1"/>
    <col min="8" max="8" width="25.28515625" customWidth="1"/>
    <col min="9" max="9" width="11.7109375" bestFit="1" customWidth="1"/>
    <col min="10" max="10" width="11.5703125" bestFit="1" customWidth="1"/>
    <col min="11" max="11" width="25.42578125" bestFit="1" customWidth="1"/>
    <col min="12" max="12" width="15.28515625" customWidth="1"/>
    <col min="13" max="13" width="10" bestFit="1" customWidth="1"/>
    <col min="14" max="14" width="15.7109375" bestFit="1" customWidth="1"/>
    <col min="15" max="15" width="16.42578125" bestFit="1" customWidth="1"/>
    <col min="16" max="16" width="16.42578125" customWidth="1"/>
    <col min="17" max="17" width="13.5703125" customWidth="1"/>
    <col min="18" max="18" width="10.42578125" bestFit="1" customWidth="1"/>
    <col min="19" max="19" width="12.140625" customWidth="1"/>
    <col min="20" max="20" width="13.28515625" customWidth="1"/>
  </cols>
  <sheetData>
    <row r="1" spans="1:21" ht="15.75" thickBot="1" x14ac:dyDescent="0.3">
      <c r="B1" s="91">
        <v>1</v>
      </c>
      <c r="C1" s="91">
        <v>2</v>
      </c>
      <c r="D1" s="91">
        <v>3</v>
      </c>
      <c r="E1" s="91">
        <v>4</v>
      </c>
      <c r="F1" s="91">
        <v>5</v>
      </c>
      <c r="G1" s="91">
        <v>6</v>
      </c>
      <c r="H1" s="91">
        <v>7</v>
      </c>
      <c r="I1" s="91">
        <v>8</v>
      </c>
      <c r="J1" s="91">
        <v>9</v>
      </c>
      <c r="K1" s="91">
        <v>10</v>
      </c>
      <c r="L1" s="91">
        <v>11</v>
      </c>
      <c r="M1" s="91">
        <v>12</v>
      </c>
      <c r="N1" s="91">
        <v>13</v>
      </c>
      <c r="O1" s="91">
        <v>14</v>
      </c>
      <c r="P1" s="91">
        <v>15</v>
      </c>
      <c r="Q1" s="91">
        <v>16</v>
      </c>
      <c r="R1" s="91">
        <v>17</v>
      </c>
      <c r="S1" s="91">
        <v>18</v>
      </c>
      <c r="T1" s="91">
        <v>19</v>
      </c>
      <c r="U1" s="91">
        <v>20</v>
      </c>
    </row>
    <row r="2" spans="1:21" x14ac:dyDescent="0.25">
      <c r="A2" s="92">
        <v>1</v>
      </c>
      <c r="B2" s="1" t="s">
        <v>0</v>
      </c>
      <c r="C2" s="2" t="s">
        <v>77</v>
      </c>
      <c r="D2" s="213" t="s">
        <v>216</v>
      </c>
      <c r="E2" s="213" t="s">
        <v>216</v>
      </c>
      <c r="F2" s="2" t="s">
        <v>75</v>
      </c>
      <c r="G2" s="2" t="s">
        <v>1</v>
      </c>
      <c r="H2" s="2" t="s">
        <v>2</v>
      </c>
      <c r="I2" s="2" t="s">
        <v>75</v>
      </c>
      <c r="J2" s="3" t="s">
        <v>3</v>
      </c>
      <c r="K2" s="3" t="s">
        <v>3</v>
      </c>
      <c r="L2" s="2" t="s">
        <v>75</v>
      </c>
      <c r="M2" s="3" t="s">
        <v>4</v>
      </c>
      <c r="N2" s="3" t="s">
        <v>4</v>
      </c>
      <c r="O2" s="42" t="s">
        <v>75</v>
      </c>
      <c r="P2" s="5"/>
      <c r="Q2" s="185" t="s">
        <v>69</v>
      </c>
      <c r="R2" s="14" t="s">
        <v>64</v>
      </c>
      <c r="S2" s="14" t="s">
        <v>65</v>
      </c>
      <c r="T2" s="58" t="s">
        <v>75</v>
      </c>
    </row>
    <row r="3" spans="1:21" x14ac:dyDescent="0.25">
      <c r="A3" s="92">
        <v>2</v>
      </c>
      <c r="B3" s="4"/>
      <c r="C3" s="5"/>
      <c r="D3" s="214" t="s">
        <v>5</v>
      </c>
      <c r="E3" s="214" t="s">
        <v>152</v>
      </c>
      <c r="F3" s="5"/>
      <c r="G3" s="5" t="s">
        <v>5</v>
      </c>
      <c r="H3" s="5" t="s">
        <v>6</v>
      </c>
      <c r="I3" s="5"/>
      <c r="J3" s="5" t="s">
        <v>5</v>
      </c>
      <c r="K3" s="5" t="s">
        <v>6</v>
      </c>
      <c r="L3" s="5"/>
      <c r="M3" s="5" t="s">
        <v>5</v>
      </c>
      <c r="N3" s="5" t="s">
        <v>6</v>
      </c>
      <c r="O3" s="6"/>
      <c r="P3" s="5"/>
      <c r="Q3" s="122" t="s">
        <v>63</v>
      </c>
      <c r="R3" s="101">
        <v>0.24</v>
      </c>
      <c r="S3" s="101">
        <v>0.18</v>
      </c>
      <c r="T3" s="70" t="s">
        <v>154</v>
      </c>
    </row>
    <row r="4" spans="1:21" x14ac:dyDescent="0.25">
      <c r="A4" s="92">
        <v>3</v>
      </c>
      <c r="B4" s="4" t="s">
        <v>21</v>
      </c>
      <c r="C4" s="5" t="s">
        <v>98</v>
      </c>
      <c r="D4" s="74">
        <f>$D$7</f>
        <v>0.2</v>
      </c>
      <c r="E4" s="74">
        <f>$E$11</f>
        <v>1</v>
      </c>
      <c r="F4" s="90" t="s">
        <v>168</v>
      </c>
      <c r="G4" s="5">
        <v>10</v>
      </c>
      <c r="H4" s="5"/>
      <c r="I4" s="5"/>
      <c r="J4" s="5"/>
      <c r="K4" s="5"/>
      <c r="L4" s="5"/>
      <c r="M4" s="5"/>
      <c r="N4" s="5"/>
      <c r="O4" s="6"/>
      <c r="P4" s="5"/>
      <c r="Q4" s="85"/>
      <c r="R4" s="85"/>
      <c r="S4" s="85"/>
      <c r="T4" s="5"/>
    </row>
    <row r="5" spans="1:21" x14ac:dyDescent="0.25">
      <c r="A5" s="92">
        <v>4</v>
      </c>
      <c r="B5" s="46" t="s">
        <v>97</v>
      </c>
      <c r="C5" s="5" t="s">
        <v>78</v>
      </c>
      <c r="D5" s="74">
        <f>$D$7</f>
        <v>0.2</v>
      </c>
      <c r="E5" s="72"/>
      <c r="F5" s="90" t="s">
        <v>169</v>
      </c>
      <c r="G5" s="5">
        <v>6</v>
      </c>
      <c r="H5" s="5"/>
      <c r="I5" s="5" t="s">
        <v>72</v>
      </c>
      <c r="J5" s="5">
        <v>0.2</v>
      </c>
      <c r="K5" s="5"/>
      <c r="L5" s="5" t="s">
        <v>73</v>
      </c>
      <c r="M5" s="5">
        <v>0.6</v>
      </c>
      <c r="N5" s="5"/>
      <c r="O5" s="6" t="s">
        <v>74</v>
      </c>
      <c r="P5" s="5"/>
      <c r="Q5" s="185"/>
      <c r="R5" s="178" t="s">
        <v>178</v>
      </c>
      <c r="S5" s="178"/>
      <c r="T5" s="15" t="s">
        <v>75</v>
      </c>
    </row>
    <row r="6" spans="1:21" x14ac:dyDescent="0.25">
      <c r="A6" s="92">
        <v>6</v>
      </c>
      <c r="B6" s="4" t="s">
        <v>24</v>
      </c>
      <c r="C6" s="5" t="s">
        <v>78</v>
      </c>
      <c r="D6" s="74">
        <f>$D$7</f>
        <v>0.2</v>
      </c>
      <c r="E6" s="72"/>
      <c r="F6" s="90" t="s">
        <v>169</v>
      </c>
      <c r="G6" s="5">
        <v>12</v>
      </c>
      <c r="H6" s="5"/>
      <c r="I6" s="5" t="s">
        <v>72</v>
      </c>
      <c r="J6" s="5">
        <v>0.2</v>
      </c>
      <c r="K6" s="5"/>
      <c r="L6" s="5" t="s">
        <v>73</v>
      </c>
      <c r="M6" s="5">
        <v>0.6</v>
      </c>
      <c r="N6" s="5"/>
      <c r="O6" s="6" t="s">
        <v>74</v>
      </c>
      <c r="P6" s="5"/>
      <c r="Q6" s="96" t="s">
        <v>95</v>
      </c>
      <c r="R6" s="85">
        <v>12.4</v>
      </c>
      <c r="S6" s="85"/>
      <c r="T6" s="71" t="s">
        <v>96</v>
      </c>
    </row>
    <row r="7" spans="1:21" x14ac:dyDescent="0.25">
      <c r="A7" s="92">
        <v>5</v>
      </c>
      <c r="B7" s="4" t="s">
        <v>25</v>
      </c>
      <c r="C7" s="5" t="s">
        <v>78</v>
      </c>
      <c r="D7" s="75">
        <v>0.2</v>
      </c>
      <c r="E7" s="72"/>
      <c r="F7" s="68" t="s">
        <v>169</v>
      </c>
      <c r="G7" s="5">
        <v>13.5</v>
      </c>
      <c r="H7" s="5"/>
      <c r="I7" s="5" t="s">
        <v>72</v>
      </c>
      <c r="J7" s="5">
        <v>0.2</v>
      </c>
      <c r="K7" s="5"/>
      <c r="L7" s="5" t="s">
        <v>73</v>
      </c>
      <c r="M7" s="5">
        <v>0.6</v>
      </c>
      <c r="N7" s="5"/>
      <c r="O7" s="6" t="s">
        <v>74</v>
      </c>
      <c r="P7" s="5"/>
      <c r="Q7" s="97" t="s">
        <v>94</v>
      </c>
      <c r="R7" s="218">
        <v>-0.6</v>
      </c>
      <c r="S7" s="85"/>
      <c r="T7" s="18" t="s">
        <v>157</v>
      </c>
    </row>
    <row r="8" spans="1:21" x14ac:dyDescent="0.25">
      <c r="A8" s="92">
        <v>7</v>
      </c>
      <c r="B8" s="4" t="s">
        <v>7</v>
      </c>
      <c r="C8" s="5" t="s">
        <v>78</v>
      </c>
      <c r="D8" s="74">
        <f>$D$7</f>
        <v>0.2</v>
      </c>
      <c r="E8" s="72"/>
      <c r="F8" s="90" t="s">
        <v>169</v>
      </c>
      <c r="G8" s="5">
        <v>20</v>
      </c>
      <c r="H8" s="5"/>
      <c r="I8" s="5" t="s">
        <v>72</v>
      </c>
      <c r="J8" s="5">
        <v>0.2</v>
      </c>
      <c r="K8" s="5"/>
      <c r="L8" s="5" t="s">
        <v>73</v>
      </c>
      <c r="M8" s="5">
        <v>0.6</v>
      </c>
      <c r="N8" s="5"/>
      <c r="O8" s="6" t="s">
        <v>74</v>
      </c>
      <c r="P8" s="5"/>
      <c r="Q8" s="193" t="s">
        <v>123</v>
      </c>
      <c r="R8" s="219">
        <v>-0.4</v>
      </c>
      <c r="S8" s="85"/>
      <c r="T8" s="18" t="s">
        <v>96</v>
      </c>
    </row>
    <row r="9" spans="1:21" x14ac:dyDescent="0.25">
      <c r="A9" s="92">
        <v>8</v>
      </c>
      <c r="B9" s="4" t="s">
        <v>8</v>
      </c>
      <c r="C9" s="5" t="s">
        <v>78</v>
      </c>
      <c r="D9" s="74">
        <f>$D$7</f>
        <v>0.2</v>
      </c>
      <c r="E9" s="72"/>
      <c r="F9" s="90" t="s">
        <v>169</v>
      </c>
      <c r="G9" s="5">
        <v>10.4</v>
      </c>
      <c r="H9" s="5"/>
      <c r="I9" s="5" t="s">
        <v>72</v>
      </c>
      <c r="J9" s="5">
        <v>0.2</v>
      </c>
      <c r="K9" s="5"/>
      <c r="L9" s="5" t="s">
        <v>73</v>
      </c>
      <c r="M9" s="5">
        <v>0.6</v>
      </c>
      <c r="N9" s="5"/>
      <c r="O9" s="6" t="s">
        <v>74</v>
      </c>
      <c r="P9" s="5"/>
      <c r="Q9" s="193" t="s">
        <v>6</v>
      </c>
      <c r="R9" s="85">
        <v>21</v>
      </c>
      <c r="S9" s="85"/>
      <c r="T9" s="71" t="s">
        <v>155</v>
      </c>
    </row>
    <row r="10" spans="1:21" x14ac:dyDescent="0.25">
      <c r="A10" s="92">
        <v>9</v>
      </c>
      <c r="B10" s="4"/>
      <c r="C10" s="5"/>
      <c r="D10" s="74"/>
      <c r="E10" s="72"/>
      <c r="F10" s="5"/>
      <c r="G10" s="5"/>
      <c r="H10" s="5"/>
      <c r="I10" s="5"/>
      <c r="J10" s="5"/>
      <c r="K10" s="5"/>
      <c r="L10" s="5"/>
      <c r="M10" s="5"/>
      <c r="N10" s="5"/>
      <c r="O10" s="6"/>
      <c r="P10" s="5"/>
      <c r="Q10" s="215" t="s">
        <v>9</v>
      </c>
      <c r="R10" s="101">
        <v>0.47</v>
      </c>
      <c r="S10" s="101"/>
      <c r="T10" s="70" t="s">
        <v>384</v>
      </c>
    </row>
    <row r="11" spans="1:21" x14ac:dyDescent="0.25">
      <c r="A11" s="92">
        <v>10</v>
      </c>
      <c r="B11" s="4" t="s">
        <v>26</v>
      </c>
      <c r="C11" s="5" t="s">
        <v>79</v>
      </c>
      <c r="D11" s="74"/>
      <c r="E11" s="75">
        <v>1</v>
      </c>
      <c r="F11" s="68" t="s">
        <v>151</v>
      </c>
      <c r="G11" s="5"/>
      <c r="H11" s="5">
        <v>6</v>
      </c>
      <c r="I11" s="5" t="s">
        <v>72</v>
      </c>
      <c r="J11" s="5"/>
      <c r="K11" s="5">
        <v>1</v>
      </c>
      <c r="L11" s="5" t="s">
        <v>73</v>
      </c>
      <c r="M11" s="5"/>
      <c r="N11" s="5">
        <v>0.1</v>
      </c>
      <c r="O11" s="6" t="s">
        <v>74</v>
      </c>
      <c r="P11" s="5"/>
      <c r="Q11" s="195"/>
      <c r="R11" s="195"/>
      <c r="S11" s="195"/>
    </row>
    <row r="12" spans="1:21" x14ac:dyDescent="0.25">
      <c r="A12" s="92">
        <v>11</v>
      </c>
      <c r="B12" s="4" t="s">
        <v>220</v>
      </c>
      <c r="C12" s="5" t="s">
        <v>79</v>
      </c>
      <c r="D12" s="74"/>
      <c r="E12" s="74">
        <f>$E$11</f>
        <v>1</v>
      </c>
      <c r="F12" s="90" t="s">
        <v>169</v>
      </c>
      <c r="G12" s="5"/>
      <c r="H12" s="5">
        <v>6</v>
      </c>
      <c r="I12" s="5" t="s">
        <v>72</v>
      </c>
      <c r="J12" s="5"/>
      <c r="K12" s="5">
        <v>1</v>
      </c>
      <c r="L12" s="5" t="s">
        <v>73</v>
      </c>
      <c r="M12" s="5"/>
      <c r="N12" s="5">
        <v>0.1</v>
      </c>
      <c r="O12" s="6" t="s">
        <v>74</v>
      </c>
      <c r="P12" s="5"/>
      <c r="Q12" s="185" t="s">
        <v>124</v>
      </c>
      <c r="R12" s="178"/>
      <c r="S12" s="178"/>
      <c r="T12" s="15" t="s">
        <v>75</v>
      </c>
    </row>
    <row r="13" spans="1:21" x14ac:dyDescent="0.25">
      <c r="A13" s="92">
        <v>12</v>
      </c>
      <c r="B13" s="4" t="s">
        <v>28</v>
      </c>
      <c r="C13" s="5" t="s">
        <v>80</v>
      </c>
      <c r="D13" s="74">
        <f t="shared" ref="D13:D17" si="0">$D$7</f>
        <v>0.2</v>
      </c>
      <c r="E13" s="74">
        <f t="shared" ref="E13:E16" si="1">$E$11</f>
        <v>1</v>
      </c>
      <c r="F13" s="90" t="s">
        <v>169</v>
      </c>
      <c r="G13" s="5">
        <v>20</v>
      </c>
      <c r="H13" s="5">
        <v>6</v>
      </c>
      <c r="I13" s="5" t="s">
        <v>72</v>
      </c>
      <c r="J13" s="5">
        <v>0.2</v>
      </c>
      <c r="K13" s="5">
        <v>1</v>
      </c>
      <c r="L13" s="5" t="s">
        <v>73</v>
      </c>
      <c r="M13" s="5">
        <v>0.6</v>
      </c>
      <c r="N13" s="5">
        <v>0.1</v>
      </c>
      <c r="O13" s="6" t="s">
        <v>74</v>
      </c>
      <c r="P13" s="5"/>
      <c r="Q13" s="96" t="s">
        <v>125</v>
      </c>
      <c r="R13" s="524">
        <v>273</v>
      </c>
      <c r="S13" s="85" t="s">
        <v>167</v>
      </c>
      <c r="T13" s="78" t="s">
        <v>153</v>
      </c>
    </row>
    <row r="14" spans="1:21" x14ac:dyDescent="0.25">
      <c r="A14" s="92">
        <v>13</v>
      </c>
      <c r="B14" s="4" t="s">
        <v>29</v>
      </c>
      <c r="C14" s="5" t="s">
        <v>80</v>
      </c>
      <c r="D14" s="74">
        <f t="shared" si="0"/>
        <v>0.2</v>
      </c>
      <c r="E14" s="74">
        <f t="shared" si="1"/>
        <v>1</v>
      </c>
      <c r="F14" s="90" t="s">
        <v>169</v>
      </c>
      <c r="G14" s="5">
        <v>12</v>
      </c>
      <c r="H14" s="5">
        <v>6</v>
      </c>
      <c r="I14" s="5" t="s">
        <v>72</v>
      </c>
      <c r="J14" s="5">
        <v>0.2</v>
      </c>
      <c r="K14" s="5">
        <v>1</v>
      </c>
      <c r="L14" s="5" t="s">
        <v>73</v>
      </c>
      <c r="M14" s="5">
        <v>0.6</v>
      </c>
      <c r="N14" s="5">
        <v>0.1</v>
      </c>
      <c r="O14" s="6" t="s">
        <v>74</v>
      </c>
      <c r="P14" s="5"/>
      <c r="Q14" s="122" t="s">
        <v>59</v>
      </c>
      <c r="R14" s="560">
        <v>27.9</v>
      </c>
      <c r="S14" s="101" t="s">
        <v>167</v>
      </c>
      <c r="T14" s="79" t="s">
        <v>153</v>
      </c>
    </row>
    <row r="15" spans="1:21" x14ac:dyDescent="0.25">
      <c r="A15" s="92">
        <v>14</v>
      </c>
      <c r="B15" s="4" t="s">
        <v>30</v>
      </c>
      <c r="C15" s="5" t="s">
        <v>80</v>
      </c>
      <c r="D15" s="74">
        <f t="shared" si="0"/>
        <v>0.2</v>
      </c>
      <c r="E15" s="74">
        <f t="shared" si="1"/>
        <v>1</v>
      </c>
      <c r="F15" s="90" t="s">
        <v>169</v>
      </c>
      <c r="G15" s="5">
        <v>13.5</v>
      </c>
      <c r="H15" s="5">
        <v>6</v>
      </c>
      <c r="I15" s="5" t="s">
        <v>72</v>
      </c>
      <c r="J15" s="5">
        <v>0.2</v>
      </c>
      <c r="K15" s="5">
        <v>1</v>
      </c>
      <c r="L15" s="5" t="s">
        <v>73</v>
      </c>
      <c r="M15" s="5">
        <v>0.6</v>
      </c>
      <c r="N15" s="5">
        <v>0.1</v>
      </c>
      <c r="O15" s="6" t="s">
        <v>74</v>
      </c>
      <c r="P15" s="5"/>
      <c r="Q15" s="99"/>
      <c r="R15" s="85"/>
      <c r="S15" s="85"/>
      <c r="T15" s="5"/>
    </row>
    <row r="16" spans="1:21" x14ac:dyDescent="0.25">
      <c r="A16" s="92">
        <v>15</v>
      </c>
      <c r="B16" s="63" t="s">
        <v>219</v>
      </c>
      <c r="C16" s="85" t="s">
        <v>80</v>
      </c>
      <c r="D16" s="74">
        <f t="shared" si="0"/>
        <v>0.2</v>
      </c>
      <c r="E16" s="74">
        <f t="shared" si="1"/>
        <v>1</v>
      </c>
      <c r="F16" s="90" t="s">
        <v>169</v>
      </c>
      <c r="G16" s="5"/>
      <c r="H16" s="5"/>
      <c r="I16" s="5"/>
      <c r="J16" s="5"/>
      <c r="K16" s="5"/>
      <c r="L16" s="5"/>
      <c r="M16" s="5"/>
      <c r="N16" s="5"/>
      <c r="O16" s="6"/>
      <c r="P16" s="5"/>
      <c r="Q16" s="185"/>
      <c r="R16" s="178"/>
      <c r="S16" s="178"/>
      <c r="T16" s="58" t="s">
        <v>75</v>
      </c>
    </row>
    <row r="17" spans="1:21" ht="30" x14ac:dyDescent="0.25">
      <c r="A17" s="92">
        <v>16</v>
      </c>
      <c r="B17" s="4" t="s">
        <v>99</v>
      </c>
      <c r="C17" s="5" t="s">
        <v>100</v>
      </c>
      <c r="D17" s="74">
        <f t="shared" si="0"/>
        <v>0.2</v>
      </c>
      <c r="E17" s="72"/>
      <c r="F17" s="90" t="s">
        <v>169</v>
      </c>
      <c r="G17" s="5">
        <v>16</v>
      </c>
      <c r="H17" s="5"/>
      <c r="I17" s="5" t="s">
        <v>72</v>
      </c>
      <c r="J17" s="5"/>
      <c r="K17" s="5"/>
      <c r="L17" s="5"/>
      <c r="M17" s="5"/>
      <c r="N17" s="5"/>
      <c r="O17" s="6"/>
      <c r="P17" s="5"/>
      <c r="Q17" s="215" t="s">
        <v>183</v>
      </c>
      <c r="R17" s="101">
        <v>182.5</v>
      </c>
      <c r="S17" s="101" t="s">
        <v>166</v>
      </c>
      <c r="T17" s="70" t="s">
        <v>179</v>
      </c>
    </row>
    <row r="18" spans="1:21" x14ac:dyDescent="0.25">
      <c r="A18" s="92">
        <v>17</v>
      </c>
      <c r="B18" s="4"/>
      <c r="C18" s="5"/>
      <c r="D18" s="72"/>
      <c r="E18" s="72"/>
      <c r="F18" s="5"/>
      <c r="G18" s="5"/>
      <c r="H18" s="5" t="s">
        <v>194</v>
      </c>
      <c r="I18" s="5"/>
      <c r="J18" s="5"/>
      <c r="K18" s="5"/>
      <c r="L18" s="5"/>
      <c r="M18" s="5"/>
      <c r="N18" s="5"/>
      <c r="O18" s="6"/>
      <c r="P18" s="5"/>
      <c r="Q18" s="99"/>
      <c r="R18" s="85"/>
      <c r="S18" s="85"/>
      <c r="T18" s="5"/>
    </row>
    <row r="19" spans="1:21" x14ac:dyDescent="0.25">
      <c r="A19" s="92">
        <v>18</v>
      </c>
      <c r="B19" s="4" t="s">
        <v>9</v>
      </c>
      <c r="C19" s="5"/>
      <c r="D19" s="75">
        <v>0.4</v>
      </c>
      <c r="E19" s="72"/>
      <c r="F19" s="68" t="s">
        <v>158</v>
      </c>
      <c r="G19" s="5"/>
      <c r="H19" s="75">
        <v>0.21</v>
      </c>
      <c r="I19" s="68" t="s">
        <v>193</v>
      </c>
      <c r="J19" s="7">
        <v>0.2</v>
      </c>
      <c r="K19" s="5"/>
      <c r="L19" s="5" t="s">
        <v>73</v>
      </c>
      <c r="M19" s="5">
        <v>6</v>
      </c>
      <c r="N19" s="5"/>
      <c r="O19" s="6" t="s">
        <v>74</v>
      </c>
      <c r="P19" s="5"/>
      <c r="Q19" s="216" t="s">
        <v>163</v>
      </c>
      <c r="R19" s="178"/>
      <c r="S19" s="178"/>
      <c r="T19" s="58" t="s">
        <v>75</v>
      </c>
    </row>
    <row r="20" spans="1:21" x14ac:dyDescent="0.25">
      <c r="A20" s="92">
        <v>19</v>
      </c>
      <c r="B20" s="4"/>
      <c r="C20" s="5"/>
      <c r="D20" s="72"/>
      <c r="E20" s="72"/>
      <c r="F20" s="5"/>
      <c r="G20" s="5"/>
      <c r="H20" s="5"/>
      <c r="I20" s="5"/>
      <c r="J20" s="5"/>
      <c r="K20" s="5"/>
      <c r="L20" s="5"/>
      <c r="M20" s="5"/>
      <c r="N20" s="5"/>
      <c r="O20" s="6"/>
      <c r="P20" s="5"/>
      <c r="Q20" s="193" t="s">
        <v>159</v>
      </c>
      <c r="R20" s="197">
        <v>0.01</v>
      </c>
      <c r="S20" s="85" t="s">
        <v>161</v>
      </c>
      <c r="T20" s="71" t="s">
        <v>165</v>
      </c>
    </row>
    <row r="21" spans="1:21" x14ac:dyDescent="0.25">
      <c r="A21" s="92">
        <v>20</v>
      </c>
      <c r="B21" s="59" t="s">
        <v>126</v>
      </c>
      <c r="C21" s="5"/>
      <c r="D21" s="72"/>
      <c r="E21" s="72"/>
      <c r="F21" s="5"/>
      <c r="G21" s="5"/>
      <c r="H21" s="5"/>
      <c r="I21" s="5"/>
      <c r="J21" s="5"/>
      <c r="K21" s="5"/>
      <c r="L21" s="5"/>
      <c r="M21" s="5"/>
      <c r="N21" s="5"/>
      <c r="O21" s="6"/>
      <c r="P21" s="5"/>
      <c r="Q21" s="217" t="s">
        <v>164</v>
      </c>
      <c r="R21" s="85"/>
      <c r="S21" s="85"/>
      <c r="T21" s="53" t="s">
        <v>75</v>
      </c>
    </row>
    <row r="22" spans="1:21" x14ac:dyDescent="0.25">
      <c r="A22" s="92">
        <v>21</v>
      </c>
      <c r="B22" s="4" t="s">
        <v>127</v>
      </c>
      <c r="C22" s="5"/>
      <c r="D22" s="76">
        <v>0.5</v>
      </c>
      <c r="E22" s="5"/>
      <c r="F22" s="69" t="s">
        <v>156</v>
      </c>
      <c r="G22" s="84">
        <v>3.4</v>
      </c>
      <c r="H22" s="84">
        <v>2</v>
      </c>
      <c r="I22" s="84" t="s">
        <v>128</v>
      </c>
      <c r="J22" s="48"/>
      <c r="K22" s="7"/>
      <c r="L22" s="5"/>
      <c r="M22" s="7"/>
      <c r="N22" s="7"/>
      <c r="O22" s="6"/>
      <c r="P22" s="5"/>
      <c r="Q22" s="96" t="s">
        <v>160</v>
      </c>
      <c r="R22" s="85">
        <v>1.0999999999999999E-2</v>
      </c>
      <c r="S22" s="85" t="s">
        <v>162</v>
      </c>
      <c r="T22" s="71" t="s">
        <v>165</v>
      </c>
    </row>
    <row r="23" spans="1:21" x14ac:dyDescent="0.25">
      <c r="A23" s="92">
        <v>22</v>
      </c>
      <c r="B23" s="4" t="s">
        <v>135</v>
      </c>
      <c r="C23" s="5"/>
      <c r="D23" s="7"/>
      <c r="E23" s="77">
        <f>E$11</f>
        <v>1</v>
      </c>
      <c r="F23" s="77" t="str">
        <f>F$11</f>
        <v xml:space="preserve">IPCC, 2019 - TABLE 10.21 </v>
      </c>
      <c r="G23" s="84"/>
      <c r="H23" s="84">
        <v>3</v>
      </c>
      <c r="I23" s="84" t="s">
        <v>128</v>
      </c>
      <c r="J23" s="48"/>
      <c r="K23" s="7"/>
      <c r="L23" s="5"/>
      <c r="M23" s="7"/>
      <c r="N23" s="7"/>
      <c r="O23" s="6"/>
      <c r="P23" s="5"/>
      <c r="Q23" s="52" t="s">
        <v>196</v>
      </c>
      <c r="R23" s="101">
        <v>0.24</v>
      </c>
      <c r="S23" s="101" t="s">
        <v>197</v>
      </c>
      <c r="T23" s="70" t="s">
        <v>165</v>
      </c>
    </row>
    <row r="24" spans="1:21" x14ac:dyDescent="0.25">
      <c r="A24" s="92">
        <v>23</v>
      </c>
      <c r="B24" s="4"/>
      <c r="C24" s="5"/>
      <c r="D24" s="7"/>
      <c r="E24" s="7"/>
      <c r="F24" s="5"/>
      <c r="G24" s="7"/>
      <c r="H24" s="7"/>
      <c r="I24" s="73"/>
      <c r="J24" s="73"/>
      <c r="K24" s="7"/>
      <c r="L24" s="5"/>
      <c r="M24" s="7"/>
      <c r="N24" s="7"/>
      <c r="O24" s="6"/>
      <c r="P24" s="5"/>
      <c r="Q24" s="84"/>
    </row>
    <row r="25" spans="1:21" x14ac:dyDescent="0.25">
      <c r="A25" s="92">
        <v>24</v>
      </c>
      <c r="B25" s="4" t="s">
        <v>137</v>
      </c>
      <c r="C25" s="5"/>
      <c r="D25" s="7"/>
      <c r="E25" s="7"/>
      <c r="F25" s="5"/>
      <c r="G25" s="7"/>
      <c r="H25" s="7"/>
      <c r="I25" s="73"/>
      <c r="J25" s="73"/>
      <c r="K25" s="7"/>
      <c r="L25" s="5"/>
      <c r="M25" s="7"/>
      <c r="N25" s="7"/>
      <c r="O25" s="6"/>
      <c r="P25" s="5"/>
    </row>
    <row r="26" spans="1:21" x14ac:dyDescent="0.25">
      <c r="A26" s="92">
        <v>25</v>
      </c>
      <c r="B26" s="4" t="s">
        <v>129</v>
      </c>
      <c r="C26" s="5"/>
      <c r="D26" s="84">
        <v>0.5</v>
      </c>
      <c r="E26" s="84" t="s">
        <v>130</v>
      </c>
      <c r="F26" s="85"/>
      <c r="G26" s="102">
        <v>0.5</v>
      </c>
      <c r="H26" s="44"/>
      <c r="I26" s="84" t="s">
        <v>138</v>
      </c>
      <c r="J26" s="80"/>
      <c r="K26" s="7"/>
      <c r="L26" s="5"/>
      <c r="M26" s="7"/>
      <c r="N26" s="7"/>
      <c r="O26" s="6"/>
      <c r="P26" s="5"/>
    </row>
    <row r="27" spans="1:21" x14ac:dyDescent="0.25">
      <c r="A27" s="92">
        <v>26</v>
      </c>
      <c r="B27" s="4" t="s">
        <v>94</v>
      </c>
      <c r="C27" s="5"/>
      <c r="D27" s="7"/>
      <c r="E27" s="7"/>
      <c r="F27" s="5"/>
      <c r="G27" s="102">
        <v>-0.5</v>
      </c>
      <c r="H27" s="44"/>
      <c r="I27" s="89" t="s">
        <v>131</v>
      </c>
      <c r="J27" s="81"/>
      <c r="K27" s="7"/>
      <c r="L27" s="5"/>
      <c r="M27" s="7"/>
      <c r="N27" s="7"/>
      <c r="O27" s="6"/>
      <c r="P27" s="5"/>
    </row>
    <row r="28" spans="1:21" x14ac:dyDescent="0.25">
      <c r="A28" s="92">
        <v>27</v>
      </c>
      <c r="B28" s="4"/>
      <c r="C28" s="5"/>
      <c r="D28" s="7"/>
      <c r="E28" s="7"/>
      <c r="F28" s="7"/>
      <c r="G28" s="7"/>
      <c r="H28" s="7"/>
      <c r="I28" s="7"/>
      <c r="J28" s="7"/>
      <c r="K28" s="5"/>
      <c r="L28" s="5"/>
      <c r="M28" s="7"/>
      <c r="N28" s="7"/>
      <c r="O28" s="6"/>
      <c r="P28" s="5"/>
    </row>
    <row r="29" spans="1:21" ht="15.75" thickBot="1" x14ac:dyDescent="0.3">
      <c r="A29" s="92">
        <v>28</v>
      </c>
      <c r="B29" s="8"/>
      <c r="C29" s="9"/>
      <c r="D29" s="9"/>
      <c r="E29" s="60" t="s">
        <v>132</v>
      </c>
      <c r="F29" s="9"/>
      <c r="G29" s="47"/>
      <c r="H29" s="9"/>
      <c r="I29" s="9"/>
      <c r="J29" s="9"/>
      <c r="K29" s="9"/>
      <c r="L29" s="9"/>
      <c r="M29" s="9"/>
      <c r="N29" s="9"/>
      <c r="O29" s="10"/>
      <c r="P29" s="5"/>
    </row>
    <row r="30" spans="1:21" x14ac:dyDescent="0.25">
      <c r="A30" s="92">
        <v>29</v>
      </c>
      <c r="L30" s="5"/>
      <c r="M30" s="5"/>
      <c r="N30" s="5"/>
      <c r="O30" s="5"/>
      <c r="P30" s="5"/>
    </row>
    <row r="31" spans="1:21" x14ac:dyDescent="0.25">
      <c r="L31" s="5"/>
      <c r="M31" s="5"/>
      <c r="N31" s="5"/>
      <c r="O31" s="5"/>
      <c r="P31" s="5"/>
      <c r="U31" s="5"/>
    </row>
    <row r="32" spans="1:21" x14ac:dyDescent="0.25">
      <c r="B32" s="73"/>
      <c r="C32" s="7"/>
      <c r="D32" s="5"/>
      <c r="E32" s="5"/>
      <c r="F32" s="5"/>
      <c r="G32" s="5"/>
      <c r="H32" s="5"/>
      <c r="L32" s="5"/>
      <c r="M32" s="5"/>
      <c r="N32" s="5"/>
      <c r="O32" s="5"/>
      <c r="P32" s="5"/>
      <c r="U32" s="5"/>
    </row>
    <row r="33" spans="2:21" ht="15.75" x14ac:dyDescent="0.25">
      <c r="B33" s="82"/>
      <c r="C33" s="7"/>
      <c r="D33" s="5"/>
      <c r="E33" s="5"/>
      <c r="F33" s="5"/>
      <c r="G33" s="5"/>
      <c r="H33" s="5"/>
      <c r="L33" s="5"/>
      <c r="M33" s="5"/>
      <c r="N33" s="5"/>
      <c r="O33" s="5"/>
      <c r="P33" s="5"/>
      <c r="U33" s="5"/>
    </row>
    <row r="34" spans="2:21" x14ac:dyDescent="0.25">
      <c r="B34" s="5"/>
      <c r="C34" s="7"/>
      <c r="D34" s="5"/>
      <c r="E34" s="5"/>
      <c r="F34" s="5"/>
      <c r="G34" s="5"/>
      <c r="H34" s="5"/>
      <c r="L34" s="5"/>
      <c r="M34" s="5"/>
      <c r="N34" s="5"/>
      <c r="O34" s="5"/>
      <c r="P34" s="5"/>
      <c r="U34" s="5"/>
    </row>
    <row r="35" spans="2:21" x14ac:dyDescent="0.25">
      <c r="B35" s="73"/>
      <c r="C35" s="7"/>
      <c r="D35" s="5"/>
      <c r="E35" s="5"/>
      <c r="F35" s="5"/>
      <c r="G35" s="5"/>
      <c r="H35" s="5"/>
      <c r="L35" s="5"/>
      <c r="M35" s="5"/>
      <c r="N35" s="5"/>
      <c r="O35" s="5"/>
      <c r="P35" s="5"/>
      <c r="U35" s="5"/>
    </row>
    <row r="36" spans="2:21" x14ac:dyDescent="0.25">
      <c r="B36" s="73"/>
      <c r="C36" s="73"/>
      <c r="D36" s="48"/>
      <c r="E36" s="5"/>
      <c r="F36" s="5"/>
      <c r="G36" s="5"/>
      <c r="H36" s="5"/>
      <c r="L36" s="5"/>
      <c r="M36" s="5"/>
      <c r="N36" s="5"/>
      <c r="O36" s="5"/>
      <c r="P36" s="5"/>
      <c r="U36" s="5"/>
    </row>
    <row r="37" spans="2:21" x14ac:dyDescent="0.25">
      <c r="B37" s="48"/>
      <c r="C37" s="73"/>
      <c r="D37" s="48"/>
      <c r="E37" s="51"/>
      <c r="F37" s="5"/>
      <c r="G37" s="5"/>
      <c r="H37" s="5"/>
      <c r="L37" s="5"/>
      <c r="M37" s="5"/>
      <c r="N37" s="5"/>
      <c r="O37" s="5"/>
      <c r="P37" s="5"/>
      <c r="U37" s="5"/>
    </row>
    <row r="38" spans="2:21" ht="15.75" x14ac:dyDescent="0.25">
      <c r="B38" s="129"/>
      <c r="C38" s="73"/>
      <c r="D38" s="48"/>
      <c r="E38" s="5"/>
      <c r="F38" s="5"/>
      <c r="G38" s="5"/>
      <c r="H38" s="5"/>
      <c r="L38" s="5"/>
      <c r="M38" s="5"/>
      <c r="N38" s="5"/>
      <c r="O38" s="5"/>
      <c r="P38" s="5"/>
      <c r="U38" s="5"/>
    </row>
    <row r="39" spans="2:21" x14ac:dyDescent="0.25">
      <c r="C39" s="7"/>
      <c r="D39" s="5"/>
      <c r="E39" s="5"/>
      <c r="F39" s="5"/>
      <c r="G39" s="5"/>
      <c r="H39" s="5"/>
      <c r="L39" s="5"/>
      <c r="M39" s="5"/>
      <c r="N39" s="5"/>
      <c r="O39" s="5"/>
      <c r="P39" s="5"/>
      <c r="U39" s="5"/>
    </row>
    <row r="40" spans="2:21" x14ac:dyDescent="0.25">
      <c r="B40" s="84"/>
      <c r="C40" s="7"/>
      <c r="D40" s="5"/>
      <c r="E40" s="5"/>
      <c r="F40" s="5"/>
      <c r="G40" s="5"/>
      <c r="H40" s="5"/>
      <c r="L40" s="5"/>
      <c r="M40" s="5"/>
      <c r="N40" s="5"/>
      <c r="O40" s="5"/>
      <c r="P40" s="5"/>
      <c r="U40" s="5"/>
    </row>
    <row r="41" spans="2:21" x14ac:dyDescent="0.25">
      <c r="B41" s="73"/>
      <c r="C41" s="7"/>
      <c r="D41" s="5"/>
      <c r="E41" s="5"/>
      <c r="F41" s="5"/>
      <c r="G41" s="5"/>
      <c r="H41" s="5"/>
      <c r="L41" s="5"/>
      <c r="M41" s="5"/>
      <c r="N41" s="5"/>
      <c r="O41" s="5"/>
      <c r="P41" s="5"/>
      <c r="U41" s="5"/>
    </row>
    <row r="42" spans="2:21" x14ac:dyDescent="0.25">
      <c r="B42" s="5"/>
      <c r="C42" s="7"/>
      <c r="D42" s="16"/>
      <c r="E42" s="5"/>
      <c r="F42" s="5"/>
      <c r="G42" s="5"/>
      <c r="H42" s="5"/>
      <c r="L42" s="5"/>
      <c r="M42" s="5"/>
      <c r="N42" s="5"/>
      <c r="O42" s="5"/>
      <c r="P42" s="5"/>
      <c r="U42" s="5"/>
    </row>
    <row r="43" spans="2:21" x14ac:dyDescent="0.25">
      <c r="B43" s="73"/>
      <c r="C43" s="73"/>
      <c r="D43" s="107"/>
      <c r="E43" s="5"/>
      <c r="F43" s="5"/>
      <c r="G43" s="5"/>
      <c r="H43" s="5"/>
      <c r="L43" s="5"/>
      <c r="M43" s="5"/>
      <c r="N43" s="5"/>
      <c r="O43" s="5"/>
      <c r="P43" s="5"/>
      <c r="U43" s="5"/>
    </row>
    <row r="44" spans="2:21" x14ac:dyDescent="0.25">
      <c r="B44" s="73"/>
      <c r="C44" s="107"/>
      <c r="D44" s="48"/>
      <c r="E44" s="5"/>
      <c r="F44" s="5"/>
      <c r="G44" s="5"/>
      <c r="H44" s="5"/>
      <c r="L44" s="5"/>
      <c r="M44" s="5"/>
      <c r="N44" s="5"/>
      <c r="O44" s="5"/>
      <c r="P44" s="5"/>
      <c r="U44" s="5"/>
    </row>
    <row r="45" spans="2:21" x14ac:dyDescent="0.25">
      <c r="B45" s="84"/>
      <c r="C45" s="88"/>
      <c r="D45" s="5"/>
      <c r="E45" s="5"/>
      <c r="F45" s="5"/>
      <c r="G45" s="5"/>
      <c r="H45" s="5"/>
      <c r="L45" s="5"/>
      <c r="M45" s="5"/>
      <c r="N45" s="5"/>
      <c r="O45" s="5"/>
      <c r="P45" s="5"/>
      <c r="U45" s="5"/>
    </row>
    <row r="46" spans="2:21" x14ac:dyDescent="0.25">
      <c r="B46" s="83"/>
      <c r="C46" s="7"/>
      <c r="D46" s="5"/>
      <c r="E46" s="5"/>
      <c r="F46" s="5"/>
      <c r="G46" s="5"/>
      <c r="H46" s="5"/>
      <c r="L46" s="5"/>
      <c r="M46" s="5"/>
      <c r="N46" s="5"/>
      <c r="O46" s="5"/>
      <c r="P46" s="5"/>
      <c r="U46" s="5"/>
    </row>
    <row r="47" spans="2:21" x14ac:dyDescent="0.25">
      <c r="B47" s="84"/>
      <c r="C47" s="7"/>
      <c r="D47" s="19"/>
      <c r="E47" s="61"/>
      <c r="F47" s="5"/>
      <c r="G47" s="5"/>
      <c r="H47" s="5"/>
      <c r="L47" s="5"/>
      <c r="M47" s="5"/>
      <c r="N47" s="5"/>
      <c r="O47" s="5"/>
      <c r="P47" s="5"/>
      <c r="U47" s="5"/>
    </row>
    <row r="48" spans="2:21" x14ac:dyDescent="0.25">
      <c r="B48" s="84"/>
      <c r="C48" s="7"/>
      <c r="D48" s="19"/>
      <c r="E48" s="61"/>
      <c r="F48" s="5"/>
      <c r="G48" s="5"/>
      <c r="H48" s="5"/>
      <c r="L48" s="5"/>
      <c r="M48" s="5"/>
      <c r="N48" s="5"/>
      <c r="O48" s="5"/>
      <c r="P48" s="5"/>
      <c r="U48" s="5"/>
    </row>
    <row r="49" spans="2:21" ht="14.25" customHeight="1" x14ac:dyDescent="0.25">
      <c r="B49" s="89"/>
      <c r="C49" s="7"/>
      <c r="D49" s="19"/>
      <c r="E49" s="62"/>
      <c r="F49" s="5"/>
      <c r="G49" s="5"/>
      <c r="H49" s="5"/>
      <c r="L49" s="5"/>
      <c r="M49" s="5"/>
      <c r="N49" s="5"/>
      <c r="O49" s="5"/>
      <c r="P49" s="5"/>
      <c r="U49" s="5"/>
    </row>
    <row r="50" spans="2:21" x14ac:dyDescent="0.25">
      <c r="B50" s="5"/>
      <c r="C50" s="5"/>
      <c r="D50" s="5"/>
      <c r="E50" s="61"/>
      <c r="F50" s="5"/>
      <c r="G50" s="5"/>
      <c r="H50" s="5"/>
      <c r="L50" s="5"/>
      <c r="M50" s="5"/>
      <c r="N50" s="5"/>
      <c r="O50" s="5"/>
      <c r="P50" s="5"/>
      <c r="U50" s="5"/>
    </row>
    <row r="51" spans="2:21" x14ac:dyDescent="0.25">
      <c r="B51" s="84"/>
      <c r="C51" s="5"/>
      <c r="D51" s="5"/>
      <c r="E51" s="61"/>
      <c r="F51" s="5"/>
      <c r="G51" s="5"/>
      <c r="H51" s="5"/>
      <c r="L51" s="5"/>
      <c r="M51" s="5"/>
      <c r="N51" s="5"/>
      <c r="O51" s="5"/>
      <c r="P51" s="5"/>
      <c r="U51" s="5"/>
    </row>
    <row r="52" spans="2:21" x14ac:dyDescent="0.25">
      <c r="B52" s="85"/>
      <c r="C52" s="5"/>
      <c r="D52" s="19"/>
      <c r="E52" s="61"/>
      <c r="F52" s="5"/>
      <c r="G52" s="5"/>
      <c r="H52" s="5"/>
      <c r="L52" s="5"/>
      <c r="M52" s="5"/>
      <c r="N52" s="5"/>
      <c r="O52" s="5"/>
      <c r="P52" s="5"/>
    </row>
    <row r="53" spans="2:21" x14ac:dyDescent="0.25">
      <c r="B53" s="85"/>
      <c r="C53" s="5"/>
      <c r="D53" s="19"/>
      <c r="E53" s="61"/>
      <c r="F53" s="5"/>
      <c r="G53" s="5"/>
      <c r="H53" s="5"/>
      <c r="L53" s="5"/>
      <c r="M53" s="5"/>
      <c r="N53" s="5"/>
      <c r="O53" s="5"/>
      <c r="P53" s="5"/>
    </row>
    <row r="54" spans="2:21" x14ac:dyDescent="0.25">
      <c r="B54" s="85"/>
      <c r="C54" s="5"/>
      <c r="D54" s="19"/>
      <c r="E54" s="61"/>
      <c r="F54" s="5"/>
      <c r="G54" s="5"/>
      <c r="H54" s="5"/>
      <c r="L54" s="5"/>
      <c r="M54" s="5"/>
      <c r="N54" s="5"/>
      <c r="O54" s="5"/>
      <c r="P54" s="5"/>
    </row>
    <row r="55" spans="2:21" x14ac:dyDescent="0.25">
      <c r="B55" s="85"/>
      <c r="C55" s="5"/>
      <c r="D55" s="19"/>
      <c r="E55" s="61"/>
      <c r="F55" s="5"/>
      <c r="G55" s="5"/>
      <c r="H55" s="5"/>
      <c r="L55" s="5"/>
      <c r="M55" s="5"/>
      <c r="N55" s="5"/>
      <c r="O55" s="5"/>
      <c r="P55" s="5"/>
    </row>
    <row r="56" spans="2:21" x14ac:dyDescent="0.25">
      <c r="B56" s="11"/>
      <c r="C56" s="5"/>
      <c r="D56" s="19"/>
      <c r="E56" s="61"/>
      <c r="F56" s="5"/>
      <c r="G56" s="5"/>
      <c r="H56" s="5"/>
      <c r="L56" s="5"/>
      <c r="M56" s="5"/>
      <c r="N56" s="5"/>
      <c r="O56" s="5"/>
      <c r="P56" s="5"/>
    </row>
    <row r="57" spans="2:21" x14ac:dyDescent="0.25">
      <c r="B57" s="83"/>
      <c r="C57" s="5"/>
      <c r="D57" s="19"/>
      <c r="E57" s="61"/>
      <c r="F57" s="5"/>
      <c r="G57" s="5"/>
      <c r="H57" s="5"/>
      <c r="L57" s="5"/>
      <c r="M57" s="5"/>
      <c r="N57" s="5"/>
      <c r="O57" s="5"/>
      <c r="P57" s="5"/>
    </row>
    <row r="58" spans="2:21" x14ac:dyDescent="0.25">
      <c r="B58" s="84"/>
      <c r="C58" s="5"/>
      <c r="D58" s="19"/>
      <c r="E58" s="62"/>
      <c r="F58" s="5"/>
      <c r="G58" s="5"/>
      <c r="H58" s="5"/>
      <c r="L58" s="5"/>
      <c r="M58" s="5"/>
      <c r="N58" s="5"/>
      <c r="O58" s="5"/>
      <c r="P58" s="5"/>
    </row>
    <row r="59" spans="2:21" x14ac:dyDescent="0.25">
      <c r="B59" s="84"/>
      <c r="C59" s="5"/>
      <c r="D59" s="19"/>
      <c r="E59" s="62"/>
      <c r="F59" s="5"/>
      <c r="G59" s="5"/>
      <c r="H59" s="5"/>
      <c r="L59" s="5"/>
      <c r="M59" s="5"/>
      <c r="N59" s="5"/>
      <c r="O59" s="5"/>
      <c r="P59" s="5"/>
    </row>
    <row r="60" spans="2:21" ht="15" customHeight="1" x14ac:dyDescent="0.25">
      <c r="B60" s="44"/>
      <c r="C60" s="5"/>
      <c r="D60" s="19"/>
      <c r="E60" s="62"/>
      <c r="F60" s="5"/>
      <c r="G60" s="5"/>
      <c r="H60" s="5"/>
      <c r="L60" s="5"/>
      <c r="M60" s="5"/>
      <c r="N60" s="5"/>
      <c r="O60" s="5"/>
      <c r="P60" s="5"/>
    </row>
    <row r="61" spans="2:21" x14ac:dyDescent="0.25">
      <c r="B61" s="44"/>
      <c r="C61" s="5"/>
      <c r="D61" s="19"/>
      <c r="E61" s="62"/>
      <c r="F61" s="5"/>
      <c r="G61" s="5"/>
      <c r="H61" s="5"/>
      <c r="L61" s="5"/>
      <c r="M61" s="5"/>
      <c r="N61" s="5"/>
      <c r="O61" s="5"/>
      <c r="P61" s="5"/>
    </row>
    <row r="62" spans="2:21" x14ac:dyDescent="0.25">
      <c r="B62" s="84"/>
      <c r="C62" s="5"/>
      <c r="D62" s="19"/>
      <c r="E62" s="62"/>
      <c r="F62" s="5"/>
      <c r="G62" s="5"/>
      <c r="H62" s="5"/>
      <c r="L62" s="5"/>
      <c r="M62" s="5"/>
      <c r="N62" s="5"/>
      <c r="O62" s="5"/>
      <c r="P62" s="5"/>
    </row>
    <row r="63" spans="2:21" x14ac:dyDescent="0.25">
      <c r="B63" s="85"/>
      <c r="C63" s="5"/>
      <c r="D63" s="19"/>
      <c r="E63" s="61"/>
      <c r="F63" s="5"/>
      <c r="G63" s="5"/>
      <c r="H63" s="5"/>
      <c r="L63" s="5"/>
      <c r="M63" s="5"/>
      <c r="N63" s="5"/>
      <c r="O63" s="5"/>
      <c r="P63" s="5"/>
    </row>
    <row r="64" spans="2:21" x14ac:dyDescent="0.25">
      <c r="B64" s="85"/>
      <c r="C64" s="5"/>
      <c r="D64" s="19"/>
      <c r="E64" s="61"/>
      <c r="F64" s="5"/>
      <c r="G64" s="5"/>
      <c r="H64" s="5"/>
      <c r="L64" s="5"/>
      <c r="M64" s="5"/>
      <c r="N64" s="5"/>
      <c r="O64" s="5"/>
      <c r="P64" s="5"/>
    </row>
    <row r="65" spans="2:16" x14ac:dyDescent="0.25">
      <c r="B65" s="85"/>
      <c r="C65" s="5"/>
      <c r="D65" s="19"/>
      <c r="E65" s="61"/>
      <c r="F65" s="5"/>
      <c r="G65" s="5"/>
      <c r="H65" s="5"/>
      <c r="L65" s="5"/>
      <c r="M65" s="5"/>
      <c r="N65" s="5"/>
      <c r="O65" s="5"/>
      <c r="P65" s="5"/>
    </row>
    <row r="66" spans="2:16" x14ac:dyDescent="0.25">
      <c r="B66" s="85"/>
      <c r="C66" s="5"/>
      <c r="D66" s="19"/>
      <c r="E66" s="61"/>
      <c r="F66" s="5"/>
      <c r="G66" s="5"/>
      <c r="H66" s="5"/>
      <c r="L66" s="5"/>
      <c r="M66" s="5"/>
      <c r="N66" s="5"/>
      <c r="O66" s="5"/>
      <c r="P66" s="5"/>
    </row>
    <row r="67" spans="2:16" x14ac:dyDescent="0.25">
      <c r="B67" s="11"/>
      <c r="C67" s="5"/>
      <c r="D67" s="19"/>
      <c r="E67" s="61"/>
      <c r="F67" s="5"/>
      <c r="G67" s="5"/>
      <c r="H67" s="5"/>
      <c r="L67" s="5"/>
      <c r="M67" s="5"/>
      <c r="N67" s="5"/>
      <c r="O67" s="5"/>
      <c r="P67" s="5"/>
    </row>
    <row r="68" spans="2:16" x14ac:dyDescent="0.25">
      <c r="B68" s="86"/>
      <c r="C68" s="5"/>
      <c r="D68" s="19"/>
      <c r="E68" s="64"/>
      <c r="F68" s="5"/>
      <c r="G68" s="5"/>
      <c r="H68" s="5"/>
      <c r="L68" s="5"/>
      <c r="M68" s="5"/>
      <c r="N68" s="5"/>
      <c r="O68" s="5"/>
      <c r="P68" s="5"/>
    </row>
    <row r="69" spans="2:16" x14ac:dyDescent="0.25">
      <c r="B69" s="11"/>
      <c r="C69" s="5"/>
      <c r="D69" s="19"/>
      <c r="E69" s="5"/>
      <c r="F69" s="5"/>
      <c r="G69" s="5"/>
      <c r="H69" s="5"/>
      <c r="L69" s="5"/>
      <c r="M69" s="5"/>
      <c r="N69" s="5"/>
      <c r="O69" s="5"/>
      <c r="P69" s="5"/>
    </row>
    <row r="70" spans="2:16" x14ac:dyDescent="0.25">
      <c r="B70" s="51"/>
      <c r="C70" s="5"/>
      <c r="D70" s="87"/>
      <c r="E70" s="5"/>
      <c r="F70" s="5"/>
      <c r="G70" s="5"/>
      <c r="H70" s="5"/>
    </row>
    <row r="71" spans="2:16" x14ac:dyDescent="0.25">
      <c r="B71" s="5"/>
      <c r="C71" s="5"/>
      <c r="D71" s="5"/>
      <c r="E71" s="5"/>
      <c r="F71" s="5"/>
      <c r="G71" s="5"/>
      <c r="H71" s="5"/>
    </row>
    <row r="72" spans="2:16" x14ac:dyDescent="0.25">
      <c r="B72" s="51"/>
      <c r="C72" s="5"/>
      <c r="D72" s="87"/>
      <c r="E72" s="5"/>
      <c r="F72" s="5"/>
      <c r="G72" s="5"/>
      <c r="H72" s="5"/>
    </row>
    <row r="73" spans="2:16" x14ac:dyDescent="0.25">
      <c r="B73" s="5"/>
      <c r="C73" s="5"/>
      <c r="D73" s="5"/>
      <c r="E73" s="5"/>
      <c r="F73" s="5"/>
      <c r="G73" s="5"/>
      <c r="H73" s="5"/>
    </row>
    <row r="74" spans="2:16" x14ac:dyDescent="0.25">
      <c r="B74" s="86"/>
      <c r="C74" s="5"/>
      <c r="D74" s="87"/>
      <c r="E74" s="5"/>
      <c r="F74" s="5"/>
      <c r="G74" s="5"/>
      <c r="H74" s="5"/>
    </row>
    <row r="75" spans="2:16" x14ac:dyDescent="0.25">
      <c r="B75" s="86"/>
      <c r="C75" s="5"/>
      <c r="D75" s="16"/>
      <c r="E75" s="5"/>
      <c r="F75" s="5"/>
      <c r="G75" s="5"/>
      <c r="H75" s="5"/>
    </row>
  </sheetData>
  <sheetProtection algorithmName="SHA-512" hashValue="YKjK+ZpCYTCddvcM1CX2YRvtLqqV5x6pjYIFjLrY69I4gMyQGaiH21D6uU+qBYxmvDZT/DyfnCbFqm93la5yVw==" saltValue="JtbpPtjxnmOTq7ZYwnnMVA==" spinCount="100000" sheet="1" objects="1" scenarios="1"/>
  <dataValidations count="2">
    <dataValidation type="list" allowBlank="1" showInputMessage="1" showErrorMessage="1" sqref="C35" xr:uid="{7E75727B-055C-4FA9-A481-507DD51CCC86}">
      <formula1>$B$5:$B$9</formula1>
    </dataValidation>
    <dataValidation type="list" allowBlank="1" showInputMessage="1" showErrorMessage="1" sqref="C36" xr:uid="{6F262993-24DB-41AA-BC2C-D6D0A0CE0BDC}">
      <formula1>$Q$7:$Q$8</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79998168889431442"/>
  </sheetPr>
  <dimension ref="A1:AY551"/>
  <sheetViews>
    <sheetView topLeftCell="M1" zoomScale="70" zoomScaleNormal="70" workbookViewId="0">
      <pane ySplit="4" topLeftCell="A5" activePane="bottomLeft" state="frozen"/>
      <selection activeCell="L1" sqref="L1"/>
      <selection pane="bottomLeft" activeCell="M18" sqref="M18"/>
    </sheetView>
  </sheetViews>
  <sheetFormatPr defaultRowHeight="15" x14ac:dyDescent="0.25"/>
  <cols>
    <col min="1" max="1" width="14.140625" bestFit="1" customWidth="1"/>
    <col min="2" max="2" width="16.7109375" bestFit="1" customWidth="1"/>
    <col min="3" max="3" width="81.85546875" customWidth="1"/>
    <col min="4" max="4" width="85.5703125" customWidth="1"/>
    <col min="5" max="5" width="27.85546875" style="132" bestFit="1" customWidth="1"/>
    <col min="6" max="6" width="27.85546875" style="132" customWidth="1"/>
    <col min="7" max="7" width="22" customWidth="1"/>
    <col min="8" max="8" width="15.7109375" customWidth="1"/>
    <col min="9" max="9" width="28.5703125" customWidth="1"/>
    <col min="10" max="10" width="26.7109375" customWidth="1"/>
    <col min="11" max="11" width="17.42578125" customWidth="1"/>
    <col min="13" max="13" width="101.42578125" customWidth="1"/>
    <col min="14" max="14" width="14.85546875" style="195" customWidth="1"/>
    <col min="15" max="15" width="26.42578125" style="586" customWidth="1"/>
    <col min="16" max="16" width="16.5703125" style="587" customWidth="1"/>
    <col min="17" max="17" width="45" customWidth="1"/>
    <col min="18" max="18" width="22.28515625" bestFit="1" customWidth="1"/>
    <col min="19" max="19" width="9.85546875" bestFit="1" customWidth="1"/>
    <col min="20" max="20" width="16.28515625" bestFit="1" customWidth="1"/>
    <col min="21" max="21" width="16.5703125" customWidth="1"/>
    <col min="27" max="27" width="31.140625" customWidth="1"/>
  </cols>
  <sheetData>
    <row r="1" spans="1:29" s="566" customFormat="1" ht="23.25" x14ac:dyDescent="0.35">
      <c r="A1" s="716" t="s">
        <v>684</v>
      </c>
      <c r="B1" s="716"/>
      <c r="C1" s="716"/>
      <c r="D1" s="716"/>
      <c r="E1" s="716"/>
      <c r="F1" s="716"/>
      <c r="G1" s="716"/>
      <c r="H1" s="716"/>
      <c r="I1" s="716"/>
      <c r="J1" s="716"/>
      <c r="K1" s="716"/>
      <c r="L1" s="716"/>
      <c r="M1" s="716"/>
      <c r="N1" s="717" t="s">
        <v>685</v>
      </c>
      <c r="O1" s="717"/>
      <c r="P1" s="717"/>
      <c r="Q1" s="717"/>
      <c r="R1" s="717"/>
      <c r="S1" s="717"/>
      <c r="T1" s="717"/>
      <c r="U1" s="717"/>
      <c r="V1" s="717"/>
      <c r="W1" s="717"/>
      <c r="X1" s="717"/>
      <c r="Y1" s="717"/>
      <c r="Z1" s="717"/>
      <c r="AA1" s="717"/>
      <c r="AB1" s="717"/>
      <c r="AC1" s="717"/>
    </row>
    <row r="2" spans="1:29" x14ac:dyDescent="0.25">
      <c r="O2" s="584"/>
      <c r="P2" s="585"/>
      <c r="Q2" s="582">
        <v>1</v>
      </c>
      <c r="R2" s="264">
        <v>2</v>
      </c>
      <c r="S2" s="264">
        <v>3</v>
      </c>
      <c r="T2" s="264">
        <v>4</v>
      </c>
      <c r="U2" s="264">
        <v>5</v>
      </c>
      <c r="V2" s="264">
        <v>6</v>
      </c>
      <c r="W2" s="264">
        <v>7</v>
      </c>
      <c r="X2" s="264">
        <v>8</v>
      </c>
      <c r="Y2" s="264">
        <v>9</v>
      </c>
      <c r="Z2" s="264">
        <v>10</v>
      </c>
      <c r="AA2" s="264">
        <v>11</v>
      </c>
      <c r="AB2" s="264">
        <v>12</v>
      </c>
    </row>
    <row r="3" spans="1:29" s="12" customFormat="1" ht="15.75" x14ac:dyDescent="0.25">
      <c r="A3" s="12" t="s">
        <v>16</v>
      </c>
      <c r="B3" s="12" t="s">
        <v>17</v>
      </c>
      <c r="C3" s="12" t="s">
        <v>18</v>
      </c>
      <c r="D3" s="12" t="s">
        <v>19</v>
      </c>
      <c r="E3" s="715" t="s">
        <v>34</v>
      </c>
      <c r="F3" s="715"/>
      <c r="J3" s="13" t="s">
        <v>59</v>
      </c>
      <c r="K3" s="36"/>
      <c r="N3" s="562" t="s">
        <v>210</v>
      </c>
      <c r="O3" s="584"/>
      <c r="P3" s="585"/>
      <c r="Q3" s="195"/>
      <c r="R3" s="56"/>
      <c r="S3" s="715" t="str">
        <f>E3</f>
        <v xml:space="preserve">Indhold kg kvælstof i alt  </v>
      </c>
      <c r="T3" s="715"/>
      <c r="U3" s="27"/>
      <c r="V3" s="27"/>
      <c r="W3" s="27"/>
      <c r="X3" s="13" t="str">
        <f t="shared" ref="T3:Y4" si="0">J3</f>
        <v>Metan</v>
      </c>
      <c r="Y3" s="27"/>
      <c r="Z3" s="265"/>
    </row>
    <row r="4" spans="1:29" ht="21.75" customHeight="1" x14ac:dyDescent="0.25">
      <c r="A4" s="25"/>
      <c r="B4" s="14"/>
      <c r="C4" s="26" t="s">
        <v>20</v>
      </c>
      <c r="D4" s="14" t="s">
        <v>76</v>
      </c>
      <c r="E4" s="27" t="s">
        <v>54</v>
      </c>
      <c r="F4" s="28" t="s">
        <v>55</v>
      </c>
      <c r="G4" t="s">
        <v>58</v>
      </c>
      <c r="H4" t="s">
        <v>56</v>
      </c>
      <c r="I4" t="s">
        <v>70</v>
      </c>
      <c r="J4" s="21" t="s">
        <v>61</v>
      </c>
      <c r="K4" s="18" t="s">
        <v>60</v>
      </c>
      <c r="N4" s="562" t="s">
        <v>210</v>
      </c>
      <c r="O4" s="584"/>
      <c r="P4" s="585" t="s">
        <v>214</v>
      </c>
      <c r="Q4" s="195"/>
      <c r="R4" s="27" t="str">
        <f t="shared" ref="R4" si="1">D4</f>
        <v>Fordelingstal til TAN-n</v>
      </c>
      <c r="S4" s="27" t="str">
        <f>E4</f>
        <v>total kg N</v>
      </c>
      <c r="T4" s="27" t="str">
        <f t="shared" si="0"/>
        <v>urin kg N (TAN-N)</v>
      </c>
      <c r="U4" s="27" t="str">
        <f t="shared" si="0"/>
        <v>Strøelsesmængde, kg/dag/dyr</v>
      </c>
      <c r="V4" s="27" t="str">
        <f t="shared" si="0"/>
        <v>kg N fra strøelse</v>
      </c>
      <c r="W4" s="27" t="str">
        <f t="shared" si="0"/>
        <v>kg Vs fra strøelse pr år</v>
      </c>
      <c r="X4" s="27" t="str">
        <f t="shared" si="0"/>
        <v>Normtal, ton gødning</v>
      </c>
      <c r="Y4" s="27" t="str">
        <f t="shared" si="0"/>
        <v>total kg Vs per år</v>
      </c>
      <c r="Z4" s="265"/>
    </row>
    <row r="5" spans="1:29" ht="21.75" customHeight="1" x14ac:dyDescent="0.25">
      <c r="A5" s="21"/>
      <c r="C5" s="32" t="s">
        <v>53</v>
      </c>
      <c r="D5" s="41">
        <f>F5/E5</f>
        <v>0.42298136645962731</v>
      </c>
      <c r="E5" s="33">
        <v>161</v>
      </c>
      <c r="F5" s="34">
        <v>68.099999999999994</v>
      </c>
      <c r="G5" s="49" t="s">
        <v>57</v>
      </c>
      <c r="H5" s="50">
        <v>5.0000000000000001E-3</v>
      </c>
      <c r="J5" s="40">
        <v>27.3</v>
      </c>
      <c r="K5" s="37">
        <f>J5*1000*0.08*0.8</f>
        <v>1747.2</v>
      </c>
      <c r="M5" t="str">
        <f>C4</f>
        <v>1 årsko (malkekvæg, tung race)</v>
      </c>
      <c r="N5" s="134" t="str">
        <f>C4</f>
        <v>1 årsko (malkekvæg, tung race)</v>
      </c>
      <c r="Q5" s="12" t="s">
        <v>273</v>
      </c>
      <c r="R5" s="143"/>
      <c r="S5" s="561">
        <f t="shared" ref="S5:S21" si="2">E5*$P$6</f>
        <v>161</v>
      </c>
      <c r="T5" s="561">
        <f t="shared" ref="T5:T21" si="3">F5*$P$6</f>
        <v>68.099999999999994</v>
      </c>
      <c r="Y5" s="561">
        <f t="shared" ref="Y5:Y21" si="4">K5*$P$6</f>
        <v>1747.2</v>
      </c>
    </row>
    <row r="6" spans="1:29" x14ac:dyDescent="0.25">
      <c r="A6" s="21">
        <v>1201</v>
      </c>
      <c r="B6">
        <v>1</v>
      </c>
      <c r="C6" t="s">
        <v>21</v>
      </c>
      <c r="D6" s="130" t="s">
        <v>32</v>
      </c>
      <c r="E6" s="131">
        <f>$E$5*0.6</f>
        <v>96.6</v>
      </c>
      <c r="F6" s="95"/>
      <c r="G6">
        <v>1.2</v>
      </c>
      <c r="H6" s="35">
        <f>G6*0.85*365*$H$5</f>
        <v>1.8615000000000002</v>
      </c>
      <c r="I6" s="39">
        <f>G6*0.85*(1-0.05)*365</f>
        <v>353.685</v>
      </c>
      <c r="J6" s="21"/>
      <c r="K6" s="95">
        <f>$K$5*0.6</f>
        <v>1048.32</v>
      </c>
      <c r="M6" t="str">
        <f>C6&amp;" - "&amp;D6</f>
        <v>Bindestald med grebning - fast gødning</v>
      </c>
      <c r="N6" s="562" t="s">
        <v>210</v>
      </c>
      <c r="O6" s="662" t="s">
        <v>252</v>
      </c>
      <c r="P6" s="663">
        <v>1</v>
      </c>
      <c r="Q6" t="str">
        <f>C6</f>
        <v>Bindestald med grebning</v>
      </c>
      <c r="R6" t="str">
        <f>D6</f>
        <v>fast gødning</v>
      </c>
      <c r="S6" s="561">
        <f t="shared" si="2"/>
        <v>96.6</v>
      </c>
      <c r="T6" s="561">
        <f t="shared" si="3"/>
        <v>0</v>
      </c>
      <c r="U6">
        <f t="shared" ref="U6" si="5">G6</f>
        <v>1.2</v>
      </c>
      <c r="V6">
        <f t="shared" ref="V6" si="6">H6</f>
        <v>1.8615000000000002</v>
      </c>
      <c r="W6">
        <f t="shared" ref="W6" si="7">I6</f>
        <v>353.685</v>
      </c>
      <c r="Y6" s="561">
        <f t="shared" si="4"/>
        <v>1048.32</v>
      </c>
      <c r="AA6" t="str">
        <f>$O$6&amp;"_"&amp;Q6&amp;" - "&amp;R6</f>
        <v>tk_Bindestald med grebning - fast gødning</v>
      </c>
    </row>
    <row r="7" spans="1:29" x14ac:dyDescent="0.25">
      <c r="A7" s="21"/>
      <c r="C7" t="str">
        <f>C6</f>
        <v>Bindestald med grebning</v>
      </c>
      <c r="D7" s="130" t="s">
        <v>33</v>
      </c>
      <c r="E7" s="131">
        <f>$E$5*0.4</f>
        <v>64.400000000000006</v>
      </c>
      <c r="F7" s="95">
        <f>$F$5*0.4</f>
        <v>27.24</v>
      </c>
      <c r="H7" s="35"/>
      <c r="I7" s="39">
        <f t="shared" ref="I7:I47" si="8">G7*0.85*(1-0.05)*365</f>
        <v>0</v>
      </c>
      <c r="J7" s="21"/>
      <c r="K7" s="95">
        <f>$K$5*0.4</f>
        <v>698.88000000000011</v>
      </c>
      <c r="M7" t="str">
        <f t="shared" ref="M7:M21" si="9">C7&amp;" - "&amp;D7</f>
        <v>Bindestald med grebning - ajle</v>
      </c>
      <c r="N7" s="195" t="s">
        <v>210</v>
      </c>
      <c r="O7" s="662" t="s">
        <v>210</v>
      </c>
      <c r="P7" s="663"/>
      <c r="Q7" t="str">
        <f t="shared" ref="Q7:R21" si="10">C7</f>
        <v>Bindestald med grebning</v>
      </c>
      <c r="R7" t="str">
        <f t="shared" si="10"/>
        <v>ajle</v>
      </c>
      <c r="S7" s="561">
        <f t="shared" si="2"/>
        <v>64.400000000000006</v>
      </c>
      <c r="T7" s="561">
        <f t="shared" si="3"/>
        <v>27.24</v>
      </c>
      <c r="U7">
        <f t="shared" ref="U7:U21" si="11">G7</f>
        <v>0</v>
      </c>
      <c r="V7">
        <f t="shared" ref="V7:V21" si="12">H7</f>
        <v>0</v>
      </c>
      <c r="W7">
        <f t="shared" ref="W7:W21" si="13">I7</f>
        <v>0</v>
      </c>
      <c r="Y7" s="561">
        <f t="shared" si="4"/>
        <v>698.88000000000011</v>
      </c>
      <c r="AA7" t="str">
        <f t="shared" ref="AA7:AA21" si="14">$O$6&amp;"_"&amp;Q7&amp;" - "&amp;R7</f>
        <v>tk_Bindestald med grebning - ajle</v>
      </c>
    </row>
    <row r="8" spans="1:29" x14ac:dyDescent="0.25">
      <c r="A8" s="21">
        <v>1201</v>
      </c>
      <c r="B8">
        <v>2</v>
      </c>
      <c r="C8" t="s">
        <v>22</v>
      </c>
      <c r="D8" t="s">
        <v>23</v>
      </c>
      <c r="E8" s="132">
        <f>$E$5</f>
        <v>161</v>
      </c>
      <c r="F8" s="20">
        <f>$F$5</f>
        <v>68.099999999999994</v>
      </c>
      <c r="G8">
        <v>1.2</v>
      </c>
      <c r="H8" s="35">
        <f t="shared" ref="H8:H14" si="15">G8*0.85*365*$H$5</f>
        <v>1.8615000000000002</v>
      </c>
      <c r="I8" s="39">
        <f t="shared" si="8"/>
        <v>353.685</v>
      </c>
      <c r="J8" s="21"/>
      <c r="K8" s="20">
        <f t="shared" ref="K8:K13" si="16">$K$5</f>
        <v>1747.2</v>
      </c>
      <c r="M8" t="str">
        <f t="shared" si="9"/>
        <v>Bindestald med riste - gylle</v>
      </c>
      <c r="N8" s="195" t="s">
        <v>210</v>
      </c>
      <c r="O8" s="662" t="s">
        <v>210</v>
      </c>
      <c r="P8" s="663"/>
      <c r="Q8" t="str">
        <f t="shared" si="10"/>
        <v>Bindestald med riste</v>
      </c>
      <c r="R8" t="str">
        <f t="shared" si="10"/>
        <v>gylle</v>
      </c>
      <c r="S8" s="561">
        <f t="shared" si="2"/>
        <v>161</v>
      </c>
      <c r="T8" s="561">
        <f t="shared" si="3"/>
        <v>68.099999999999994</v>
      </c>
      <c r="U8">
        <f t="shared" si="11"/>
        <v>1.2</v>
      </c>
      <c r="V8">
        <f t="shared" si="12"/>
        <v>1.8615000000000002</v>
      </c>
      <c r="W8">
        <f t="shared" si="13"/>
        <v>353.685</v>
      </c>
      <c r="Y8" s="561">
        <f t="shared" si="4"/>
        <v>1747.2</v>
      </c>
      <c r="AA8" t="str">
        <f t="shared" si="14"/>
        <v>tk_Bindestald med riste - gylle</v>
      </c>
    </row>
    <row r="9" spans="1:29" x14ac:dyDescent="0.25">
      <c r="A9" s="21">
        <v>1201</v>
      </c>
      <c r="B9">
        <v>3</v>
      </c>
      <c r="C9" t="s">
        <v>7</v>
      </c>
      <c r="D9" t="s">
        <v>23</v>
      </c>
      <c r="E9" s="132">
        <f t="shared" ref="E9:E13" si="17">$E$5</f>
        <v>161</v>
      </c>
      <c r="F9" s="20">
        <f t="shared" ref="F9:F12" si="18">$F$5</f>
        <v>68.099999999999994</v>
      </c>
      <c r="G9">
        <v>0.4</v>
      </c>
      <c r="H9" s="35">
        <f>G9*0.85*365*$H$5</f>
        <v>0.62050000000000005</v>
      </c>
      <c r="I9" s="39">
        <f t="shared" si="8"/>
        <v>117.89500000000001</v>
      </c>
      <c r="J9" s="21"/>
      <c r="K9" s="20">
        <f t="shared" si="16"/>
        <v>1747.2</v>
      </c>
      <c r="M9" t="str">
        <f t="shared" si="9"/>
        <v>Sengestald med fast gulv - gylle</v>
      </c>
      <c r="N9" s="195" t="s">
        <v>210</v>
      </c>
      <c r="O9" s="662" t="s">
        <v>210</v>
      </c>
      <c r="P9" s="663"/>
      <c r="Q9" t="str">
        <f t="shared" si="10"/>
        <v>Sengestald med fast gulv</v>
      </c>
      <c r="R9" t="str">
        <f t="shared" si="10"/>
        <v>gylle</v>
      </c>
      <c r="S9" s="561">
        <f t="shared" si="2"/>
        <v>161</v>
      </c>
      <c r="T9" s="561">
        <f t="shared" si="3"/>
        <v>68.099999999999994</v>
      </c>
      <c r="U9">
        <f t="shared" si="11"/>
        <v>0.4</v>
      </c>
      <c r="V9">
        <f t="shared" si="12"/>
        <v>0.62050000000000005</v>
      </c>
      <c r="W9">
        <f t="shared" si="13"/>
        <v>117.89500000000001</v>
      </c>
      <c r="Y9" s="561">
        <f t="shared" si="4"/>
        <v>1747.2</v>
      </c>
      <c r="AA9" t="str">
        <f t="shared" si="14"/>
        <v>tk_Sengestald med fast gulv - gylle</v>
      </c>
    </row>
    <row r="10" spans="1:29" x14ac:dyDescent="0.25">
      <c r="A10" s="21">
        <v>1201</v>
      </c>
      <c r="B10">
        <v>4</v>
      </c>
      <c r="C10" t="s">
        <v>24</v>
      </c>
      <c r="D10" t="s">
        <v>23</v>
      </c>
      <c r="E10" s="132">
        <f>$E$5</f>
        <v>161</v>
      </c>
      <c r="F10" s="20">
        <f t="shared" si="18"/>
        <v>68.099999999999994</v>
      </c>
      <c r="G10">
        <v>0.4</v>
      </c>
      <c r="H10" s="35">
        <f t="shared" si="15"/>
        <v>0.62050000000000005</v>
      </c>
      <c r="I10" s="39">
        <f t="shared" si="8"/>
        <v>117.89500000000001</v>
      </c>
      <c r="J10" s="21"/>
      <c r="K10" s="20">
        <f t="shared" si="16"/>
        <v>1747.2</v>
      </c>
      <c r="M10" t="str">
        <f t="shared" si="9"/>
        <v>Sengestald med spalter (kanal, linespil) - gylle</v>
      </c>
      <c r="N10" s="195" t="s">
        <v>210</v>
      </c>
      <c r="O10" s="662" t="s">
        <v>210</v>
      </c>
      <c r="P10" s="663"/>
      <c r="Q10" t="str">
        <f t="shared" si="10"/>
        <v>Sengestald med spalter (kanal, linespil)</v>
      </c>
      <c r="R10" t="str">
        <f t="shared" si="10"/>
        <v>gylle</v>
      </c>
      <c r="S10" s="561">
        <f t="shared" si="2"/>
        <v>161</v>
      </c>
      <c r="T10" s="561">
        <f t="shared" si="3"/>
        <v>68.099999999999994</v>
      </c>
      <c r="U10">
        <f t="shared" si="11"/>
        <v>0.4</v>
      </c>
      <c r="V10">
        <f t="shared" si="12"/>
        <v>0.62050000000000005</v>
      </c>
      <c r="W10">
        <f t="shared" si="13"/>
        <v>117.89500000000001</v>
      </c>
      <c r="Y10" s="561">
        <f t="shared" si="4"/>
        <v>1747.2</v>
      </c>
      <c r="AA10" t="str">
        <f t="shared" si="14"/>
        <v>tk_Sengestald med spalter (kanal, linespil) - gylle</v>
      </c>
    </row>
    <row r="11" spans="1:29" x14ac:dyDescent="0.25">
      <c r="A11" s="21">
        <v>1201</v>
      </c>
      <c r="B11">
        <v>5</v>
      </c>
      <c r="C11" t="s">
        <v>25</v>
      </c>
      <c r="D11" t="s">
        <v>23</v>
      </c>
      <c r="E11" s="132">
        <f t="shared" si="17"/>
        <v>161</v>
      </c>
      <c r="F11" s="20">
        <f t="shared" si="18"/>
        <v>68.099999999999994</v>
      </c>
      <c r="G11">
        <v>0.4</v>
      </c>
      <c r="H11" s="35">
        <f t="shared" si="15"/>
        <v>0.62050000000000005</v>
      </c>
      <c r="I11" s="39">
        <f t="shared" si="8"/>
        <v>117.89500000000001</v>
      </c>
      <c r="J11" s="21"/>
      <c r="K11" s="20">
        <f t="shared" si="16"/>
        <v>1747.2</v>
      </c>
      <c r="M11" t="str">
        <f t="shared" si="9"/>
        <v>Sengestald med spalter (kanal, bagskyl eller ringkanal) - gylle</v>
      </c>
      <c r="N11" s="195" t="s">
        <v>210</v>
      </c>
      <c r="O11" s="662" t="s">
        <v>210</v>
      </c>
      <c r="P11" s="663"/>
      <c r="Q11" t="str">
        <f t="shared" si="10"/>
        <v>Sengestald med spalter (kanal, bagskyl eller ringkanal)</v>
      </c>
      <c r="R11" t="str">
        <f t="shared" si="10"/>
        <v>gylle</v>
      </c>
      <c r="S11" s="561">
        <f t="shared" si="2"/>
        <v>161</v>
      </c>
      <c r="T11" s="561">
        <f t="shared" si="3"/>
        <v>68.099999999999994</v>
      </c>
      <c r="U11">
        <f t="shared" si="11"/>
        <v>0.4</v>
      </c>
      <c r="V11">
        <f t="shared" si="12"/>
        <v>0.62050000000000005</v>
      </c>
      <c r="W11">
        <f t="shared" si="13"/>
        <v>117.89500000000001</v>
      </c>
      <c r="Y11" s="561">
        <f t="shared" si="4"/>
        <v>1747.2</v>
      </c>
      <c r="AA11" t="str">
        <f t="shared" si="14"/>
        <v>tk_Sengestald med spalter (kanal, bagskyl eller ringkanal) - gylle</v>
      </c>
    </row>
    <row r="12" spans="1:29" x14ac:dyDescent="0.25">
      <c r="A12" s="21">
        <v>1201</v>
      </c>
      <c r="B12">
        <v>14</v>
      </c>
      <c r="C12" t="s">
        <v>52</v>
      </c>
      <c r="D12" t="s">
        <v>23</v>
      </c>
      <c r="E12" s="132">
        <f t="shared" si="17"/>
        <v>161</v>
      </c>
      <c r="F12" s="20">
        <f t="shared" si="18"/>
        <v>68.099999999999994</v>
      </c>
      <c r="G12">
        <v>0.4</v>
      </c>
      <c r="H12" s="35">
        <f t="shared" si="15"/>
        <v>0.62050000000000005</v>
      </c>
      <c r="I12" s="39">
        <f t="shared" si="8"/>
        <v>117.89500000000001</v>
      </c>
      <c r="J12" s="21"/>
      <c r="K12" s="20">
        <f t="shared" si="16"/>
        <v>1747.2</v>
      </c>
      <c r="M12" t="str">
        <f t="shared" si="9"/>
        <v>Sengestald, fast drænet gulv med skraber og ajleafløb *) - gylle</v>
      </c>
      <c r="N12" s="195" t="s">
        <v>210</v>
      </c>
      <c r="O12" s="662" t="s">
        <v>210</v>
      </c>
      <c r="P12" s="663"/>
      <c r="Q12" t="str">
        <f t="shared" si="10"/>
        <v>Sengestald, fast drænet gulv med skraber og ajleafløb *)</v>
      </c>
      <c r="R12" t="str">
        <f t="shared" si="10"/>
        <v>gylle</v>
      </c>
      <c r="S12" s="561">
        <f t="shared" si="2"/>
        <v>161</v>
      </c>
      <c r="T12" s="561">
        <f t="shared" si="3"/>
        <v>68.099999999999994</v>
      </c>
      <c r="U12">
        <f t="shared" si="11"/>
        <v>0.4</v>
      </c>
      <c r="V12">
        <f t="shared" si="12"/>
        <v>0.62050000000000005</v>
      </c>
      <c r="W12">
        <f t="shared" si="13"/>
        <v>117.89500000000001</v>
      </c>
      <c r="Y12" s="561">
        <f t="shared" si="4"/>
        <v>1747.2</v>
      </c>
      <c r="AA12" t="str">
        <f t="shared" si="14"/>
        <v>tk_Sengestald, fast drænet gulv med skraber og ajleafløb *) - gylle</v>
      </c>
    </row>
    <row r="13" spans="1:29" x14ac:dyDescent="0.25">
      <c r="A13" s="21">
        <v>1201</v>
      </c>
      <c r="B13">
        <v>6</v>
      </c>
      <c r="C13" t="s">
        <v>26</v>
      </c>
      <c r="D13" t="s">
        <v>27</v>
      </c>
      <c r="E13" s="132">
        <f t="shared" si="17"/>
        <v>161</v>
      </c>
      <c r="F13" s="20"/>
      <c r="G13">
        <v>12</v>
      </c>
      <c r="H13" s="35">
        <f t="shared" si="15"/>
        <v>18.614999999999998</v>
      </c>
      <c r="I13" s="39">
        <f>G13*0.85*(1-0.05)*365</f>
        <v>3536.85</v>
      </c>
      <c r="J13" s="21"/>
      <c r="K13" s="20">
        <f t="shared" si="16"/>
        <v>1747.2</v>
      </c>
      <c r="M13" t="str">
        <f t="shared" si="9"/>
        <v>Dybstrøelse (hele arealet) - dybstrøelse</v>
      </c>
      <c r="N13" s="195" t="s">
        <v>210</v>
      </c>
      <c r="O13" s="662" t="s">
        <v>210</v>
      </c>
      <c r="P13" s="663"/>
      <c r="Q13" t="str">
        <f t="shared" si="10"/>
        <v>Dybstrøelse (hele arealet)</v>
      </c>
      <c r="R13" t="str">
        <f t="shared" si="10"/>
        <v>dybstrøelse</v>
      </c>
      <c r="S13" s="561">
        <f t="shared" si="2"/>
        <v>161</v>
      </c>
      <c r="T13" s="561">
        <f t="shared" si="3"/>
        <v>0</v>
      </c>
      <c r="U13">
        <f t="shared" si="11"/>
        <v>12</v>
      </c>
      <c r="V13">
        <f t="shared" si="12"/>
        <v>18.614999999999998</v>
      </c>
      <c r="W13">
        <f t="shared" si="13"/>
        <v>3536.85</v>
      </c>
      <c r="Y13" s="561">
        <f t="shared" si="4"/>
        <v>1747.2</v>
      </c>
      <c r="AA13" t="str">
        <f t="shared" si="14"/>
        <v>tk_Dybstrøelse (hele arealet) - dybstrøelse</v>
      </c>
    </row>
    <row r="14" spans="1:29" x14ac:dyDescent="0.25">
      <c r="A14" s="21">
        <v>1201</v>
      </c>
      <c r="B14">
        <v>7</v>
      </c>
      <c r="C14" t="s">
        <v>28</v>
      </c>
      <c r="D14" s="130" t="s">
        <v>27</v>
      </c>
      <c r="E14" s="131">
        <f>$E$5*0.6</f>
        <v>96.6</v>
      </c>
      <c r="F14" s="95"/>
      <c r="G14">
        <v>10</v>
      </c>
      <c r="H14" s="35">
        <f t="shared" si="15"/>
        <v>15.512500000000001</v>
      </c>
      <c r="I14" s="39">
        <f t="shared" si="8"/>
        <v>2947.3749999999995</v>
      </c>
      <c r="J14" s="21"/>
      <c r="K14" s="95">
        <f>$K$5*0.6</f>
        <v>1048.32</v>
      </c>
      <c r="M14" t="str">
        <f t="shared" si="9"/>
        <v>Dybstrøelse, lang ædeplads med fast gulv - dybstrøelse</v>
      </c>
      <c r="N14" s="195" t="s">
        <v>210</v>
      </c>
      <c r="O14" s="662" t="s">
        <v>210</v>
      </c>
      <c r="P14" s="663"/>
      <c r="Q14" t="str">
        <f t="shared" si="10"/>
        <v>Dybstrøelse, lang ædeplads med fast gulv</v>
      </c>
      <c r="R14" t="str">
        <f t="shared" si="10"/>
        <v>dybstrøelse</v>
      </c>
      <c r="S14" s="561">
        <f t="shared" si="2"/>
        <v>96.6</v>
      </c>
      <c r="T14" s="561">
        <f t="shared" si="3"/>
        <v>0</v>
      </c>
      <c r="U14">
        <f t="shared" si="11"/>
        <v>10</v>
      </c>
      <c r="V14">
        <f t="shared" si="12"/>
        <v>15.512500000000001</v>
      </c>
      <c r="W14">
        <f t="shared" si="13"/>
        <v>2947.3749999999995</v>
      </c>
      <c r="Y14" s="561">
        <f t="shared" si="4"/>
        <v>1048.32</v>
      </c>
      <c r="AA14" t="str">
        <f t="shared" si="14"/>
        <v>tk_Dybstrøelse, lang ædeplads med fast gulv - dybstrøelse</v>
      </c>
    </row>
    <row r="15" spans="1:29" x14ac:dyDescent="0.25">
      <c r="A15" s="21">
        <v>1201</v>
      </c>
      <c r="B15">
        <v>7</v>
      </c>
      <c r="C15" t="s">
        <v>133</v>
      </c>
      <c r="D15" s="130" t="s">
        <v>23</v>
      </c>
      <c r="E15" s="131">
        <f>$E$5*0.4</f>
        <v>64.400000000000006</v>
      </c>
      <c r="F15" s="95">
        <f>$F$5*0.4</f>
        <v>27.24</v>
      </c>
      <c r="H15" s="35"/>
      <c r="I15" s="39">
        <f t="shared" si="8"/>
        <v>0</v>
      </c>
      <c r="J15" s="21"/>
      <c r="K15" s="95">
        <f>$K$5*0.4</f>
        <v>698.88000000000011</v>
      </c>
      <c r="M15" t="str">
        <f t="shared" si="9"/>
        <v>Dybstrøelse, lang ædeplads med fast gulv  - gylle</v>
      </c>
      <c r="N15" s="195" t="s">
        <v>210</v>
      </c>
      <c r="O15" s="662" t="s">
        <v>210</v>
      </c>
      <c r="P15" s="663"/>
      <c r="Q15" t="str">
        <f t="shared" si="10"/>
        <v xml:space="preserve">Dybstrøelse, lang ædeplads med fast gulv </v>
      </c>
      <c r="R15" t="str">
        <f t="shared" si="10"/>
        <v>gylle</v>
      </c>
      <c r="S15" s="561">
        <f t="shared" si="2"/>
        <v>64.400000000000006</v>
      </c>
      <c r="T15" s="561">
        <f t="shared" si="3"/>
        <v>27.24</v>
      </c>
      <c r="U15">
        <f t="shared" si="11"/>
        <v>0</v>
      </c>
      <c r="V15">
        <f t="shared" si="12"/>
        <v>0</v>
      </c>
      <c r="W15">
        <f t="shared" si="13"/>
        <v>0</v>
      </c>
      <c r="Y15" s="561">
        <f t="shared" si="4"/>
        <v>698.88000000000011</v>
      </c>
      <c r="AA15" t="str">
        <f t="shared" si="14"/>
        <v>tk_Dybstrøelse, lang ædeplads med fast gulv  - gylle</v>
      </c>
    </row>
    <row r="16" spans="1:29" x14ac:dyDescent="0.25">
      <c r="A16" s="21">
        <v>1201</v>
      </c>
      <c r="B16">
        <v>8</v>
      </c>
      <c r="C16" t="s">
        <v>29</v>
      </c>
      <c r="D16" s="130" t="s">
        <v>27</v>
      </c>
      <c r="E16" s="131">
        <f>$E$5*0.6</f>
        <v>96.6</v>
      </c>
      <c r="F16" s="95"/>
      <c r="G16">
        <v>10</v>
      </c>
      <c r="H16" s="35">
        <f>G16*0.85*365*$H$5</f>
        <v>15.512500000000001</v>
      </c>
      <c r="I16" s="39">
        <f t="shared" si="8"/>
        <v>2947.3749999999995</v>
      </c>
      <c r="J16" s="21"/>
      <c r="K16" s="95">
        <f>$K$5*0.6</f>
        <v>1048.32</v>
      </c>
      <c r="M16" t="str">
        <f t="shared" si="9"/>
        <v>Dybstrøelse, lang ædeplads med spalter (kanal, linespil) - dybstrøelse</v>
      </c>
      <c r="N16" s="195" t="s">
        <v>210</v>
      </c>
      <c r="O16" s="662" t="s">
        <v>210</v>
      </c>
      <c r="P16" s="663"/>
      <c r="Q16" t="str">
        <f t="shared" si="10"/>
        <v>Dybstrøelse, lang ædeplads med spalter (kanal, linespil)</v>
      </c>
      <c r="R16" t="str">
        <f t="shared" si="10"/>
        <v>dybstrøelse</v>
      </c>
      <c r="S16" s="561">
        <f t="shared" si="2"/>
        <v>96.6</v>
      </c>
      <c r="T16" s="561">
        <f t="shared" si="3"/>
        <v>0</v>
      </c>
      <c r="U16">
        <f t="shared" si="11"/>
        <v>10</v>
      </c>
      <c r="V16">
        <f t="shared" si="12"/>
        <v>15.512500000000001</v>
      </c>
      <c r="W16">
        <f t="shared" si="13"/>
        <v>2947.3749999999995</v>
      </c>
      <c r="Y16" s="561">
        <f t="shared" si="4"/>
        <v>1048.32</v>
      </c>
      <c r="AA16" t="str">
        <f t="shared" si="14"/>
        <v>tk_Dybstrøelse, lang ædeplads med spalter (kanal, linespil) - dybstrøelse</v>
      </c>
    </row>
    <row r="17" spans="1:27" x14ac:dyDescent="0.25">
      <c r="A17" s="21">
        <v>1201</v>
      </c>
      <c r="B17">
        <v>8</v>
      </c>
      <c r="C17" t="s">
        <v>29</v>
      </c>
      <c r="D17" s="130" t="s">
        <v>23</v>
      </c>
      <c r="E17" s="131">
        <f>$E$5*0.4</f>
        <v>64.400000000000006</v>
      </c>
      <c r="F17" s="95">
        <f>$F$5*0.4</f>
        <v>27.24</v>
      </c>
      <c r="H17" s="35"/>
      <c r="I17" s="39">
        <f t="shared" si="8"/>
        <v>0</v>
      </c>
      <c r="J17" s="21"/>
      <c r="K17" s="95">
        <f>$K$5*0.4</f>
        <v>698.88000000000011</v>
      </c>
      <c r="M17" t="str">
        <f t="shared" si="9"/>
        <v>Dybstrøelse, lang ædeplads med spalter (kanal, linespil) - gylle</v>
      </c>
      <c r="N17" s="195" t="s">
        <v>210</v>
      </c>
      <c r="O17" s="662" t="s">
        <v>210</v>
      </c>
      <c r="P17" s="663"/>
      <c r="Q17" t="str">
        <f t="shared" si="10"/>
        <v>Dybstrøelse, lang ædeplads med spalter (kanal, linespil)</v>
      </c>
      <c r="R17" t="str">
        <f t="shared" si="10"/>
        <v>gylle</v>
      </c>
      <c r="S17" s="561">
        <f t="shared" si="2"/>
        <v>64.400000000000006</v>
      </c>
      <c r="T17" s="561">
        <f t="shared" si="3"/>
        <v>27.24</v>
      </c>
      <c r="U17">
        <f t="shared" si="11"/>
        <v>0</v>
      </c>
      <c r="V17">
        <f t="shared" si="12"/>
        <v>0</v>
      </c>
      <c r="W17">
        <f t="shared" si="13"/>
        <v>0</v>
      </c>
      <c r="Y17" s="561">
        <f t="shared" si="4"/>
        <v>698.88000000000011</v>
      </c>
      <c r="AA17" t="str">
        <f t="shared" si="14"/>
        <v>tk_Dybstrøelse, lang ædeplads med spalter (kanal, linespil) - gylle</v>
      </c>
    </row>
    <row r="18" spans="1:27" x14ac:dyDescent="0.25">
      <c r="A18" s="21">
        <v>1201</v>
      </c>
      <c r="B18">
        <v>9</v>
      </c>
      <c r="C18" t="s">
        <v>30</v>
      </c>
      <c r="D18" s="130" t="s">
        <v>27</v>
      </c>
      <c r="E18" s="131">
        <f>$E$5*0.6</f>
        <v>96.6</v>
      </c>
      <c r="F18" s="95"/>
      <c r="G18">
        <v>10</v>
      </c>
      <c r="H18" s="35">
        <f>G18*0.85*365*$H$5</f>
        <v>15.512500000000001</v>
      </c>
      <c r="I18" s="39">
        <f t="shared" si="8"/>
        <v>2947.3749999999995</v>
      </c>
      <c r="J18" s="21"/>
      <c r="K18" s="95">
        <f>$K$5*0.6</f>
        <v>1048.32</v>
      </c>
      <c r="M18" t="str">
        <f t="shared" si="9"/>
        <v>Dybstrøelse, lang ædeplads med spalter (kanal, bagskyl eller ringkanal) - dybstrøelse</v>
      </c>
      <c r="N18" s="195" t="s">
        <v>210</v>
      </c>
      <c r="O18" s="662" t="s">
        <v>210</v>
      </c>
      <c r="P18" s="663"/>
      <c r="Q18" t="str">
        <f t="shared" si="10"/>
        <v>Dybstrøelse, lang ædeplads med spalter (kanal, bagskyl eller ringkanal)</v>
      </c>
      <c r="R18" t="str">
        <f t="shared" si="10"/>
        <v>dybstrøelse</v>
      </c>
      <c r="S18" s="561">
        <f t="shared" si="2"/>
        <v>96.6</v>
      </c>
      <c r="T18" s="561">
        <f t="shared" si="3"/>
        <v>0</v>
      </c>
      <c r="U18">
        <f t="shared" si="11"/>
        <v>10</v>
      </c>
      <c r="V18">
        <f t="shared" si="12"/>
        <v>15.512500000000001</v>
      </c>
      <c r="W18">
        <f t="shared" si="13"/>
        <v>2947.3749999999995</v>
      </c>
      <c r="Y18" s="561">
        <f t="shared" si="4"/>
        <v>1048.32</v>
      </c>
      <c r="AA18" t="str">
        <f t="shared" si="14"/>
        <v>tk_Dybstrøelse, lang ædeplads med spalter (kanal, bagskyl eller ringkanal) - dybstrøelse</v>
      </c>
    </row>
    <row r="19" spans="1:27" x14ac:dyDescent="0.25">
      <c r="A19" s="21">
        <v>1201</v>
      </c>
      <c r="B19">
        <v>9</v>
      </c>
      <c r="C19" t="s">
        <v>30</v>
      </c>
      <c r="D19" s="130" t="s">
        <v>23</v>
      </c>
      <c r="E19" s="131">
        <f>$E$5*0.4</f>
        <v>64.400000000000006</v>
      </c>
      <c r="F19" s="95">
        <f>$F$5*0.4</f>
        <v>27.24</v>
      </c>
      <c r="H19" s="35"/>
      <c r="I19" s="39">
        <f t="shared" si="8"/>
        <v>0</v>
      </c>
      <c r="J19" s="21"/>
      <c r="K19" s="95">
        <f>$K$5*0.4</f>
        <v>698.88000000000011</v>
      </c>
      <c r="M19" t="str">
        <f t="shared" si="9"/>
        <v>Dybstrøelse, lang ædeplads med spalter (kanal, bagskyl eller ringkanal) - gylle</v>
      </c>
      <c r="N19" s="195" t="s">
        <v>210</v>
      </c>
      <c r="O19" s="662" t="s">
        <v>210</v>
      </c>
      <c r="P19" s="663"/>
      <c r="Q19" t="str">
        <f t="shared" si="10"/>
        <v>Dybstrøelse, lang ædeplads med spalter (kanal, bagskyl eller ringkanal)</v>
      </c>
      <c r="R19" t="str">
        <f t="shared" si="10"/>
        <v>gylle</v>
      </c>
      <c r="S19" s="561">
        <f t="shared" si="2"/>
        <v>64.400000000000006</v>
      </c>
      <c r="T19" s="561">
        <f t="shared" si="3"/>
        <v>27.24</v>
      </c>
      <c r="U19">
        <f t="shared" si="11"/>
        <v>0</v>
      </c>
      <c r="V19">
        <f t="shared" si="12"/>
        <v>0</v>
      </c>
      <c r="W19">
        <f t="shared" si="13"/>
        <v>0</v>
      </c>
      <c r="Y19" s="561">
        <f t="shared" si="4"/>
        <v>698.88000000000011</v>
      </c>
      <c r="AA19" t="str">
        <f t="shared" si="14"/>
        <v>tk_Dybstrøelse, lang ædeplads med spalter (kanal, bagskyl eller ringkanal) - gylle</v>
      </c>
    </row>
    <row r="20" spans="1:27" x14ac:dyDescent="0.25">
      <c r="A20">
        <v>1201</v>
      </c>
      <c r="B20">
        <v>15</v>
      </c>
      <c r="C20" t="s">
        <v>219</v>
      </c>
      <c r="D20" s="130" t="s">
        <v>27</v>
      </c>
      <c r="E20" s="131">
        <f>$E$5*0.6</f>
        <v>96.6</v>
      </c>
      <c r="F20" s="95"/>
      <c r="G20">
        <v>10</v>
      </c>
      <c r="H20" s="35">
        <f>G20*0.85*365*$H$5</f>
        <v>15.512500000000001</v>
      </c>
      <c r="I20" s="39">
        <f t="shared" si="8"/>
        <v>2947.3749999999995</v>
      </c>
      <c r="J20" s="21"/>
      <c r="K20" s="95">
        <f>$K$5*0.6</f>
        <v>1048.32</v>
      </c>
      <c r="M20" t="str">
        <f t="shared" si="9"/>
        <v>Dybstrøelse, lang ædeplads, fast drænet gulv med skraber og ajleafløb - dybstrøelse</v>
      </c>
      <c r="N20" s="195" t="s">
        <v>210</v>
      </c>
      <c r="O20" s="662" t="s">
        <v>210</v>
      </c>
      <c r="P20" s="663"/>
      <c r="Q20" t="str">
        <f t="shared" si="10"/>
        <v>Dybstrøelse, lang ædeplads, fast drænet gulv med skraber og ajleafløb</v>
      </c>
      <c r="R20" t="str">
        <f t="shared" si="10"/>
        <v>dybstrøelse</v>
      </c>
      <c r="S20" s="561">
        <f t="shared" si="2"/>
        <v>96.6</v>
      </c>
      <c r="T20" s="561">
        <f t="shared" si="3"/>
        <v>0</v>
      </c>
      <c r="U20">
        <f t="shared" si="11"/>
        <v>10</v>
      </c>
      <c r="V20">
        <f t="shared" si="12"/>
        <v>15.512500000000001</v>
      </c>
      <c r="W20">
        <f t="shared" si="13"/>
        <v>2947.3749999999995</v>
      </c>
      <c r="Y20" s="561">
        <f t="shared" si="4"/>
        <v>1048.32</v>
      </c>
      <c r="AA20" t="str">
        <f t="shared" si="14"/>
        <v>tk_Dybstrøelse, lang ædeplads, fast drænet gulv med skraber og ajleafløb - dybstrøelse</v>
      </c>
    </row>
    <row r="21" spans="1:27" x14ac:dyDescent="0.25">
      <c r="A21">
        <v>1201</v>
      </c>
      <c r="B21">
        <v>15</v>
      </c>
      <c r="C21" t="s">
        <v>219</v>
      </c>
      <c r="D21" s="130" t="s">
        <v>23</v>
      </c>
      <c r="E21" s="131">
        <f>$E$5*0.4</f>
        <v>64.400000000000006</v>
      </c>
      <c r="F21" s="95">
        <f>$F$5*0.4</f>
        <v>27.24</v>
      </c>
      <c r="H21" s="35"/>
      <c r="I21" s="39">
        <f t="shared" si="8"/>
        <v>0</v>
      </c>
      <c r="J21" s="21"/>
      <c r="K21" s="95">
        <f>$K$5*0.4</f>
        <v>698.88000000000011</v>
      </c>
      <c r="M21" t="str">
        <f t="shared" si="9"/>
        <v>Dybstrøelse, lang ædeplads, fast drænet gulv med skraber og ajleafløb - gylle</v>
      </c>
      <c r="N21" s="195" t="s">
        <v>210</v>
      </c>
      <c r="O21" s="662" t="s">
        <v>210</v>
      </c>
      <c r="P21" s="663"/>
      <c r="Q21" t="str">
        <f t="shared" si="10"/>
        <v>Dybstrøelse, lang ædeplads, fast drænet gulv med skraber og ajleafløb</v>
      </c>
      <c r="R21" t="str">
        <f t="shared" si="10"/>
        <v>gylle</v>
      </c>
      <c r="S21" s="561">
        <f t="shared" si="2"/>
        <v>64.400000000000006</v>
      </c>
      <c r="T21" s="561">
        <f t="shared" si="3"/>
        <v>27.24</v>
      </c>
      <c r="U21">
        <f t="shared" si="11"/>
        <v>0</v>
      </c>
      <c r="V21">
        <f t="shared" si="12"/>
        <v>0</v>
      </c>
      <c r="W21">
        <f t="shared" si="13"/>
        <v>0</v>
      </c>
      <c r="Y21" s="561">
        <f t="shared" si="4"/>
        <v>698.88000000000011</v>
      </c>
      <c r="AA21" t="str">
        <f t="shared" si="14"/>
        <v>tk_Dybstrøelse, lang ædeplads, fast drænet gulv med skraber og ajleafløb - gylle</v>
      </c>
    </row>
    <row r="22" spans="1:27" x14ac:dyDescent="0.25">
      <c r="A22" s="25"/>
      <c r="B22" s="14"/>
      <c r="C22" s="26" t="s">
        <v>35</v>
      </c>
      <c r="D22" s="14"/>
      <c r="E22" s="27"/>
      <c r="F22" s="28"/>
      <c r="H22" s="35"/>
      <c r="I22" s="39"/>
      <c r="J22" s="21"/>
      <c r="K22" s="18"/>
      <c r="N22" s="195" t="s">
        <v>210</v>
      </c>
      <c r="O22" s="662" t="s">
        <v>210</v>
      </c>
      <c r="P22" s="663"/>
      <c r="S22" s="236"/>
      <c r="T22" s="236"/>
      <c r="Y22" s="236" t="s">
        <v>210</v>
      </c>
    </row>
    <row r="23" spans="1:27" x14ac:dyDescent="0.25">
      <c r="A23" s="21"/>
      <c r="C23" s="32" t="s">
        <v>53</v>
      </c>
      <c r="D23" s="41">
        <f>18.9/E23</f>
        <v>0.7078651685393258</v>
      </c>
      <c r="E23" s="33">
        <v>26.7</v>
      </c>
      <c r="F23" s="34">
        <f>E23*D23</f>
        <v>18.899999999999999</v>
      </c>
      <c r="H23" s="35"/>
      <c r="I23" s="39"/>
      <c r="J23" s="40">
        <v>2.46</v>
      </c>
      <c r="K23" s="37">
        <f>J23*1000*0.08*0.8</f>
        <v>157.44000000000003</v>
      </c>
      <c r="M23" t="str">
        <f>C22</f>
        <v>Årsopdræt, 0-6 mdr., småkalv, tung race</v>
      </c>
      <c r="N23" s="134" t="str">
        <f>C22</f>
        <v>Årsopdræt, 0-6 mdr., småkalv, tung race</v>
      </c>
      <c r="O23" s="662"/>
      <c r="P23" s="663"/>
      <c r="Q23" s="12" t="s">
        <v>588</v>
      </c>
      <c r="S23" s="561">
        <f t="shared" ref="S23:T25" si="19">E23*$P$24</f>
        <v>22.564316455696201</v>
      </c>
      <c r="T23" s="561">
        <f t="shared" si="19"/>
        <v>15.972493670886072</v>
      </c>
      <c r="Y23" s="561">
        <f t="shared" ref="Y23:Y25" si="20">K23*$P$24</f>
        <v>133.05340759493671</v>
      </c>
    </row>
    <row r="24" spans="1:27" x14ac:dyDescent="0.25">
      <c r="A24" s="21">
        <v>1202</v>
      </c>
      <c r="B24">
        <v>1</v>
      </c>
      <c r="C24" t="s">
        <v>26</v>
      </c>
      <c r="D24" t="s">
        <v>6</v>
      </c>
      <c r="E24" s="132">
        <f>$E$23</f>
        <v>26.7</v>
      </c>
      <c r="F24" s="20">
        <f>$F$23</f>
        <v>18.899999999999999</v>
      </c>
      <c r="G24">
        <v>1.5</v>
      </c>
      <c r="H24" s="35">
        <f>G24*0.85*365*$H$5</f>
        <v>2.3268749999999998</v>
      </c>
      <c r="I24" s="39">
        <f t="shared" si="8"/>
        <v>442.10624999999999</v>
      </c>
      <c r="J24" s="21"/>
      <c r="K24" s="20">
        <f>$K$23</f>
        <v>157.44000000000003</v>
      </c>
      <c r="M24" t="str">
        <f>C24&amp;" - "&amp;D24</f>
        <v>Dybstrøelse (hele arealet) - Dybstrøelse</v>
      </c>
      <c r="N24" s="195" t="s">
        <v>205</v>
      </c>
      <c r="O24" s="662" t="s">
        <v>580</v>
      </c>
      <c r="P24" s="663">
        <f>(((0 + 1) * 0.0729) + 1.93) / 2.37</f>
        <v>0.84510548523206741</v>
      </c>
      <c r="Q24" t="str">
        <f>C24</f>
        <v>Dybstrøelse (hele arealet)</v>
      </c>
      <c r="R24" t="str">
        <f>D24</f>
        <v>Dybstrøelse</v>
      </c>
      <c r="S24" s="561">
        <f t="shared" si="19"/>
        <v>22.564316455696201</v>
      </c>
      <c r="T24" s="561">
        <f t="shared" si="19"/>
        <v>15.972493670886072</v>
      </c>
      <c r="U24">
        <f t="shared" ref="U24" si="21">G24</f>
        <v>1.5</v>
      </c>
      <c r="V24">
        <f t="shared" ref="V24" si="22">H24</f>
        <v>2.3268749999999998</v>
      </c>
      <c r="W24">
        <f t="shared" ref="W24" si="23">I24</f>
        <v>442.10624999999999</v>
      </c>
      <c r="Y24" s="561">
        <f t="shared" si="20"/>
        <v>133.05340759493671</v>
      </c>
      <c r="AA24" t="str">
        <f>$O$24&amp;"_"&amp;Q24&amp;" - "&amp;R24</f>
        <v>tk01_Dybstrøelse (hele arealet) - Dybstrøelse</v>
      </c>
    </row>
    <row r="25" spans="1:27" x14ac:dyDescent="0.25">
      <c r="A25" s="29">
        <v>1202</v>
      </c>
      <c r="B25" s="22">
        <v>2</v>
      </c>
      <c r="C25" s="22" t="s">
        <v>36</v>
      </c>
      <c r="D25" s="22" t="s">
        <v>6</v>
      </c>
      <c r="E25" s="30">
        <f>$E$23</f>
        <v>26.7</v>
      </c>
      <c r="F25" s="31">
        <f>$F$23</f>
        <v>18.899999999999999</v>
      </c>
      <c r="G25">
        <v>1.5</v>
      </c>
      <c r="H25" s="35">
        <f>G25*0.85*365*$H$5</f>
        <v>2.3268749999999998</v>
      </c>
      <c r="I25" s="39">
        <f t="shared" si="8"/>
        <v>442.10624999999999</v>
      </c>
      <c r="J25" s="21"/>
      <c r="K25" s="31">
        <f>$K$23</f>
        <v>157.44000000000003</v>
      </c>
      <c r="M25" t="str">
        <f>C25&amp;" - "&amp;D25</f>
        <v>Dybstrøelse + kort ædeplads med fast gulv - Dybstrøelse</v>
      </c>
      <c r="N25" s="195" t="s">
        <v>206</v>
      </c>
      <c r="O25" s="664" t="s">
        <v>581</v>
      </c>
      <c r="P25" s="663"/>
      <c r="Q25" t="str">
        <f>C25</f>
        <v>Dybstrøelse + kort ædeplads med fast gulv</v>
      </c>
      <c r="R25" t="str">
        <f>D25</f>
        <v>Dybstrøelse</v>
      </c>
      <c r="S25" s="561">
        <f t="shared" si="19"/>
        <v>22.564316455696201</v>
      </c>
      <c r="T25" s="561">
        <f t="shared" si="19"/>
        <v>15.972493670886072</v>
      </c>
      <c r="U25">
        <f t="shared" ref="U25" si="24">G25</f>
        <v>1.5</v>
      </c>
      <c r="V25">
        <f t="shared" ref="V25" si="25">H25</f>
        <v>2.3268749999999998</v>
      </c>
      <c r="W25">
        <f t="shared" ref="W25" si="26">I25</f>
        <v>442.10624999999999</v>
      </c>
      <c r="Y25" s="561">
        <f t="shared" si="20"/>
        <v>133.05340759493671</v>
      </c>
      <c r="AA25" t="str">
        <f>$O$24&amp;"_"&amp;Q25&amp;" - "&amp;R25</f>
        <v>tk01_Dybstrøelse + kort ædeplads med fast gulv - Dybstrøelse</v>
      </c>
    </row>
    <row r="26" spans="1:27" x14ac:dyDescent="0.25">
      <c r="A26" s="21"/>
      <c r="B26" s="5"/>
      <c r="C26" s="5"/>
      <c r="D26" s="5"/>
      <c r="E26" s="265"/>
      <c r="F26" s="20"/>
      <c r="H26" s="35"/>
      <c r="I26" s="39"/>
      <c r="J26" s="21"/>
      <c r="K26" s="20"/>
      <c r="N26" s="195" t="s">
        <v>210</v>
      </c>
      <c r="O26" s="664"/>
      <c r="P26" s="663"/>
      <c r="S26" s="561"/>
      <c r="T26" s="561"/>
      <c r="Y26" s="561"/>
    </row>
    <row r="27" spans="1:27" x14ac:dyDescent="0.25">
      <c r="A27" s="21"/>
      <c r="B27" s="5"/>
      <c r="C27" s="5"/>
      <c r="D27" s="5"/>
      <c r="E27" s="265"/>
      <c r="F27" s="20"/>
      <c r="H27" s="35"/>
      <c r="I27" s="39"/>
      <c r="J27" s="21"/>
      <c r="K27" s="20"/>
      <c r="N27" s="134" t="str">
        <f>C22</f>
        <v>Årsopdræt, 0-6 mdr., småkalv, tung race</v>
      </c>
      <c r="O27" s="662"/>
      <c r="P27" s="663"/>
      <c r="Q27" s="12" t="s">
        <v>339</v>
      </c>
      <c r="S27" s="561">
        <f t="shared" ref="S27:T29" si="27">E23*$P$28</f>
        <v>26.67070886075949</v>
      </c>
      <c r="T27" s="561">
        <f t="shared" si="27"/>
        <v>18.879265822784809</v>
      </c>
      <c r="Y27" s="561">
        <f>K23*$P$28</f>
        <v>157.26728101265826</v>
      </c>
    </row>
    <row r="28" spans="1:27" x14ac:dyDescent="0.25">
      <c r="A28" s="21"/>
      <c r="B28" s="5"/>
      <c r="C28" s="5"/>
      <c r="D28" s="5"/>
      <c r="E28" s="265"/>
      <c r="F28" s="20"/>
      <c r="H28" s="35"/>
      <c r="I28" s="39"/>
      <c r="J28" s="21"/>
      <c r="K28" s="20"/>
      <c r="N28" s="195" t="s">
        <v>205</v>
      </c>
      <c r="O28" s="662" t="s">
        <v>338</v>
      </c>
      <c r="P28" s="663">
        <f>(((0 + 6) * 0.0729) + 1.93) / 2.37</f>
        <v>0.99890295358649783</v>
      </c>
      <c r="Q28" t="str">
        <f>C24</f>
        <v>Dybstrøelse (hele arealet)</v>
      </c>
      <c r="R28" t="str">
        <f>D24</f>
        <v>Dybstrøelse</v>
      </c>
      <c r="S28" s="561">
        <f t="shared" si="27"/>
        <v>26.67070886075949</v>
      </c>
      <c r="T28" s="561">
        <f t="shared" si="27"/>
        <v>18.879265822784809</v>
      </c>
      <c r="U28">
        <f t="shared" ref="U28:W28" si="28">G24</f>
        <v>1.5</v>
      </c>
      <c r="V28">
        <f t="shared" si="28"/>
        <v>2.3268749999999998</v>
      </c>
      <c r="W28">
        <f t="shared" si="28"/>
        <v>442.10624999999999</v>
      </c>
      <c r="Y28" s="561">
        <f>K24*$P$28</f>
        <v>157.26728101265826</v>
      </c>
      <c r="AA28" t="str">
        <f>$O$28&amp;"_"&amp;Q28&amp;" - "&amp;R28</f>
        <v>tk06_Dybstrøelse (hele arealet) - Dybstrøelse</v>
      </c>
    </row>
    <row r="29" spans="1:27" x14ac:dyDescent="0.25">
      <c r="A29" s="21"/>
      <c r="B29" s="5"/>
      <c r="C29" s="5"/>
      <c r="D29" s="5"/>
      <c r="E29" s="265"/>
      <c r="F29" s="20"/>
      <c r="H29" s="35"/>
      <c r="I29" s="39"/>
      <c r="J29" s="21"/>
      <c r="K29" s="20"/>
      <c r="N29" s="195" t="s">
        <v>206</v>
      </c>
      <c r="O29" s="664"/>
      <c r="P29" s="663"/>
      <c r="Q29" t="str">
        <f>C25</f>
        <v>Dybstrøelse + kort ædeplads med fast gulv</v>
      </c>
      <c r="R29" t="str">
        <f>D25</f>
        <v>Dybstrøelse</v>
      </c>
      <c r="S29" s="561">
        <f t="shared" si="27"/>
        <v>26.67070886075949</v>
      </c>
      <c r="T29" s="561">
        <f t="shared" si="27"/>
        <v>18.879265822784809</v>
      </c>
      <c r="U29">
        <f t="shared" ref="U29" si="29">G25</f>
        <v>1.5</v>
      </c>
      <c r="V29">
        <f t="shared" ref="V29" si="30">H25</f>
        <v>2.3268749999999998</v>
      </c>
      <c r="W29">
        <f t="shared" ref="W29" si="31">I25</f>
        <v>442.10624999999999</v>
      </c>
      <c r="Y29" s="561">
        <f>K25*$P$28</f>
        <v>157.26728101265826</v>
      </c>
      <c r="AA29" t="str">
        <f>$O$28&amp;"_"&amp;Q29&amp;" - "&amp;R29</f>
        <v>tk06_Dybstrøelse + kort ædeplads med fast gulv - Dybstrøelse</v>
      </c>
    </row>
    <row r="30" spans="1:27" x14ac:dyDescent="0.25">
      <c r="A30" s="25"/>
      <c r="B30" s="14"/>
      <c r="C30" s="26" t="s">
        <v>43</v>
      </c>
      <c r="D30" s="14"/>
      <c r="F30" s="28"/>
      <c r="H30" s="35"/>
      <c r="I30" s="39"/>
      <c r="J30" s="21"/>
      <c r="K30" s="18"/>
      <c r="O30" s="662" t="s">
        <v>210</v>
      </c>
      <c r="P30" s="663"/>
      <c r="S30" s="236"/>
      <c r="T30" s="236"/>
      <c r="Y30" s="236" t="s">
        <v>210</v>
      </c>
    </row>
    <row r="31" spans="1:27" x14ac:dyDescent="0.25">
      <c r="A31" s="21"/>
      <c r="C31" s="32" t="s">
        <v>53</v>
      </c>
      <c r="D31" s="41">
        <f>33.9/E31</f>
        <v>0.67261904761904756</v>
      </c>
      <c r="E31" s="33">
        <v>50.4</v>
      </c>
      <c r="F31" s="34">
        <f>E31*D31</f>
        <v>33.9</v>
      </c>
      <c r="H31" s="35"/>
      <c r="I31" s="39"/>
      <c r="J31" s="40">
        <v>5.68</v>
      </c>
      <c r="K31" s="37">
        <f>J31*1000*0.08*0.8</f>
        <v>363.52000000000004</v>
      </c>
      <c r="M31" t="str">
        <f>C30</f>
        <v>Årsopdræt 6 mdr. til kælvning (27 mdr) (kvier og stude), tung race</v>
      </c>
      <c r="N31" s="134" t="str">
        <f>C30</f>
        <v>Årsopdræt 6 mdr. til kælvning (27 mdr) (kvier og stude), tung race</v>
      </c>
      <c r="O31" s="662"/>
      <c r="P31" s="663"/>
      <c r="Q31" s="12" t="s">
        <v>274</v>
      </c>
      <c r="S31" s="561">
        <f t="shared" ref="S31:S47" si="32">E31*$P$32</f>
        <v>39.513832258064518</v>
      </c>
      <c r="T31" s="561">
        <f t="shared" ref="T31:T47" si="33">F31*$P$32</f>
        <v>26.577756221198158</v>
      </c>
      <c r="Y31" s="561">
        <f t="shared" ref="Y31:Y47" si="34">K31*$P$32</f>
        <v>285.00135520737331</v>
      </c>
    </row>
    <row r="32" spans="1:27" x14ac:dyDescent="0.25">
      <c r="A32" s="21">
        <v>1203</v>
      </c>
      <c r="B32">
        <v>1</v>
      </c>
      <c r="C32" t="s">
        <v>21</v>
      </c>
      <c r="D32" s="130" t="s">
        <v>32</v>
      </c>
      <c r="E32" s="132">
        <f>$E$31*0.6</f>
        <v>30.24</v>
      </c>
      <c r="F32" s="20">
        <f>$F$31*0.6</f>
        <v>20.34</v>
      </c>
      <c r="G32">
        <v>0.75</v>
      </c>
      <c r="H32" s="35">
        <f>G32*0.85*365*$H$5</f>
        <v>1.1634374999999999</v>
      </c>
      <c r="I32" s="39">
        <f t="shared" si="8"/>
        <v>221.05312499999999</v>
      </c>
      <c r="J32" s="21"/>
      <c r="K32" s="20">
        <f>$K$31*0.6</f>
        <v>218.11200000000002</v>
      </c>
      <c r="M32" t="str">
        <f>C32&amp;" - "&amp;D32</f>
        <v>Bindestald med grebning - fast gødning</v>
      </c>
      <c r="N32" s="195" t="s">
        <v>205</v>
      </c>
      <c r="O32" s="662" t="s">
        <v>255</v>
      </c>
      <c r="P32" s="663">
        <f>(((6+ 14.2) * 0.0729) + 1.93) / 4.34</f>
        <v>0.7840046082949309</v>
      </c>
      <c r="Q32" t="str">
        <f>C32</f>
        <v>Bindestald med grebning</v>
      </c>
      <c r="R32" t="str">
        <f>D32</f>
        <v>fast gødning</v>
      </c>
      <c r="S32" s="561">
        <f t="shared" si="32"/>
        <v>23.708299354838708</v>
      </c>
      <c r="T32" s="561">
        <f t="shared" si="33"/>
        <v>15.946653732718895</v>
      </c>
      <c r="U32">
        <f t="shared" ref="U32:U47" si="35">G32</f>
        <v>0.75</v>
      </c>
      <c r="V32">
        <f t="shared" ref="V32:V47" si="36">H32</f>
        <v>1.1634374999999999</v>
      </c>
      <c r="W32">
        <f t="shared" ref="W32:W47" si="37">I32</f>
        <v>221.05312499999999</v>
      </c>
      <c r="Y32" s="561">
        <f t="shared" si="34"/>
        <v>171.00081312442398</v>
      </c>
      <c r="AA32" t="str">
        <f>$O$32&amp;"_"&amp;Q32&amp;" - "&amp;R32</f>
        <v>tku18_Bindestald med grebning - fast gødning</v>
      </c>
    </row>
    <row r="33" spans="1:27" x14ac:dyDescent="0.25">
      <c r="A33" s="21">
        <v>1203</v>
      </c>
      <c r="B33">
        <v>1</v>
      </c>
      <c r="C33" t="s">
        <v>21</v>
      </c>
      <c r="D33" s="130" t="s">
        <v>33</v>
      </c>
      <c r="E33" s="132">
        <f>$E$31*0.4</f>
        <v>20.16</v>
      </c>
      <c r="F33" s="20">
        <f>$F$31*0.4</f>
        <v>13.56</v>
      </c>
      <c r="H33" s="35"/>
      <c r="I33" s="39">
        <f t="shared" si="8"/>
        <v>0</v>
      </c>
      <c r="J33" s="21"/>
      <c r="K33" s="20">
        <f>$K$31*0.4</f>
        <v>145.40800000000002</v>
      </c>
      <c r="M33" t="str">
        <f t="shared" ref="M33:M47" si="38">C33&amp;" - "&amp;D33</f>
        <v>Bindestald med grebning - ajle</v>
      </c>
      <c r="N33" s="195" t="s">
        <v>208</v>
      </c>
      <c r="O33" s="664" t="s">
        <v>504</v>
      </c>
      <c r="P33" s="663"/>
      <c r="Q33" t="str">
        <f t="shared" ref="Q33:R47" si="39">C33</f>
        <v>Bindestald med grebning</v>
      </c>
      <c r="R33" t="str">
        <f t="shared" si="39"/>
        <v>ajle</v>
      </c>
      <c r="S33" s="561">
        <f t="shared" si="32"/>
        <v>15.805532903225807</v>
      </c>
      <c r="T33" s="561">
        <f t="shared" si="33"/>
        <v>10.631102488479263</v>
      </c>
      <c r="U33">
        <f t="shared" si="35"/>
        <v>0</v>
      </c>
      <c r="V33">
        <f t="shared" si="36"/>
        <v>0</v>
      </c>
      <c r="W33">
        <f t="shared" si="37"/>
        <v>0</v>
      </c>
      <c r="Y33" s="561">
        <f t="shared" si="34"/>
        <v>114.00054208294932</v>
      </c>
      <c r="AA33" t="str">
        <f t="shared" ref="AA33:AA47" si="40">$O$32&amp;"_"&amp;Q33&amp;" - "&amp;R33</f>
        <v>tku18_Bindestald med grebning - ajle</v>
      </c>
    </row>
    <row r="34" spans="1:27" x14ac:dyDescent="0.25">
      <c r="A34" s="21">
        <v>1203</v>
      </c>
      <c r="B34">
        <v>2</v>
      </c>
      <c r="C34" t="s">
        <v>22</v>
      </c>
      <c r="D34" t="s">
        <v>23</v>
      </c>
      <c r="E34" s="132">
        <f>$E$31</f>
        <v>50.4</v>
      </c>
      <c r="F34" s="20">
        <f>$F$31</f>
        <v>33.9</v>
      </c>
      <c r="G34">
        <v>0.75</v>
      </c>
      <c r="H34" s="35">
        <f t="shared" ref="H34:H41" si="41">G34*0.85*365*$H$5</f>
        <v>1.1634374999999999</v>
      </c>
      <c r="I34" s="39">
        <f t="shared" si="8"/>
        <v>221.05312499999999</v>
      </c>
      <c r="J34" s="21"/>
      <c r="K34" s="20">
        <f>$K$31</f>
        <v>363.52000000000004</v>
      </c>
      <c r="M34" t="str">
        <f t="shared" si="38"/>
        <v>Bindestald med riste - gylle</v>
      </c>
      <c r="N34" s="195" t="s">
        <v>210</v>
      </c>
      <c r="O34" s="662" t="s">
        <v>210</v>
      </c>
      <c r="P34" s="663"/>
      <c r="Q34" t="str">
        <f t="shared" si="39"/>
        <v>Bindestald med riste</v>
      </c>
      <c r="R34" t="str">
        <f t="shared" si="39"/>
        <v>gylle</v>
      </c>
      <c r="S34" s="561">
        <f t="shared" si="32"/>
        <v>39.513832258064518</v>
      </c>
      <c r="T34" s="561">
        <f t="shared" si="33"/>
        <v>26.577756221198158</v>
      </c>
      <c r="U34">
        <f t="shared" si="35"/>
        <v>0.75</v>
      </c>
      <c r="V34">
        <f t="shared" si="36"/>
        <v>1.1634374999999999</v>
      </c>
      <c r="W34">
        <f t="shared" si="37"/>
        <v>221.05312499999999</v>
      </c>
      <c r="Y34" s="561">
        <f t="shared" si="34"/>
        <v>285.00135520737331</v>
      </c>
      <c r="AA34" t="str">
        <f t="shared" si="40"/>
        <v>tku18_Bindestald med riste - gylle</v>
      </c>
    </row>
    <row r="35" spans="1:27" x14ac:dyDescent="0.25">
      <c r="A35" s="21">
        <v>1203</v>
      </c>
      <c r="B35">
        <v>3</v>
      </c>
      <c r="C35" t="s">
        <v>7</v>
      </c>
      <c r="D35" t="s">
        <v>23</v>
      </c>
      <c r="E35" s="132">
        <f t="shared" ref="E35:E47" si="42">$E$31</f>
        <v>50.4</v>
      </c>
      <c r="F35" s="20">
        <f t="shared" ref="F35:F47" si="43">$F$31</f>
        <v>33.9</v>
      </c>
      <c r="G35">
        <v>0.3</v>
      </c>
      <c r="H35" s="35">
        <f t="shared" si="41"/>
        <v>0.46537500000000004</v>
      </c>
      <c r="I35" s="39">
        <f t="shared" si="8"/>
        <v>88.421250000000001</v>
      </c>
      <c r="J35" s="21"/>
      <c r="K35" s="20">
        <f t="shared" ref="K35:K40" si="44">$K$31</f>
        <v>363.52000000000004</v>
      </c>
      <c r="M35" t="str">
        <f t="shared" si="38"/>
        <v>Sengestald med fast gulv - gylle</v>
      </c>
      <c r="N35" s="195" t="s">
        <v>210</v>
      </c>
      <c r="O35" s="662" t="s">
        <v>210</v>
      </c>
      <c r="P35" s="663"/>
      <c r="Q35" t="str">
        <f t="shared" si="39"/>
        <v>Sengestald med fast gulv</v>
      </c>
      <c r="R35" t="str">
        <f t="shared" si="39"/>
        <v>gylle</v>
      </c>
      <c r="S35" s="561">
        <f t="shared" si="32"/>
        <v>39.513832258064518</v>
      </c>
      <c r="T35" s="561">
        <f t="shared" si="33"/>
        <v>26.577756221198158</v>
      </c>
      <c r="U35">
        <f t="shared" si="35"/>
        <v>0.3</v>
      </c>
      <c r="V35">
        <f t="shared" si="36"/>
        <v>0.46537500000000004</v>
      </c>
      <c r="W35">
        <f t="shared" si="37"/>
        <v>88.421250000000001</v>
      </c>
      <c r="Y35" s="561">
        <f t="shared" si="34"/>
        <v>285.00135520737331</v>
      </c>
      <c r="AA35" t="str">
        <f t="shared" si="40"/>
        <v>tku18_Sengestald med fast gulv - gylle</v>
      </c>
    </row>
    <row r="36" spans="1:27" x14ac:dyDescent="0.25">
      <c r="A36" s="21">
        <v>1203</v>
      </c>
      <c r="B36">
        <v>4</v>
      </c>
      <c r="C36" t="s">
        <v>38</v>
      </c>
      <c r="D36" t="s">
        <v>23</v>
      </c>
      <c r="E36" s="132">
        <f t="shared" si="42"/>
        <v>50.4</v>
      </c>
      <c r="F36" s="20">
        <f t="shared" si="43"/>
        <v>33.9</v>
      </c>
      <c r="G36">
        <v>0.3</v>
      </c>
      <c r="H36" s="35">
        <f t="shared" si="41"/>
        <v>0.46537500000000004</v>
      </c>
      <c r="I36" s="39">
        <f t="shared" si="8"/>
        <v>88.421250000000001</v>
      </c>
      <c r="J36" s="21"/>
      <c r="K36" s="20">
        <f t="shared" si="44"/>
        <v>363.52000000000004</v>
      </c>
      <c r="M36" t="str">
        <f t="shared" si="38"/>
        <v>Sengestald med spaltegulv (kanal, line- spil) - gylle</v>
      </c>
      <c r="N36" s="195" t="s">
        <v>210</v>
      </c>
      <c r="O36" s="662" t="s">
        <v>210</v>
      </c>
      <c r="P36" s="663"/>
      <c r="Q36" t="str">
        <f t="shared" si="39"/>
        <v>Sengestald med spaltegulv (kanal, line- spil)</v>
      </c>
      <c r="R36" t="str">
        <f t="shared" si="39"/>
        <v>gylle</v>
      </c>
      <c r="S36" s="561">
        <f t="shared" si="32"/>
        <v>39.513832258064518</v>
      </c>
      <c r="T36" s="561">
        <f t="shared" si="33"/>
        <v>26.577756221198158</v>
      </c>
      <c r="U36">
        <f t="shared" si="35"/>
        <v>0.3</v>
      </c>
      <c r="V36">
        <f t="shared" si="36"/>
        <v>0.46537500000000004</v>
      </c>
      <c r="W36">
        <f t="shared" si="37"/>
        <v>88.421250000000001</v>
      </c>
      <c r="Y36" s="561">
        <f t="shared" si="34"/>
        <v>285.00135520737331</v>
      </c>
      <c r="AA36" t="str">
        <f t="shared" si="40"/>
        <v>tku18_Sengestald med spaltegulv (kanal, line- spil) - gylle</v>
      </c>
    </row>
    <row r="37" spans="1:27" x14ac:dyDescent="0.25">
      <c r="A37" s="21">
        <v>1203</v>
      </c>
      <c r="B37">
        <v>5</v>
      </c>
      <c r="C37" t="s">
        <v>39</v>
      </c>
      <c r="D37" t="s">
        <v>23</v>
      </c>
      <c r="E37" s="132">
        <f t="shared" si="42"/>
        <v>50.4</v>
      </c>
      <c r="F37" s="20">
        <f t="shared" si="43"/>
        <v>33.9</v>
      </c>
      <c r="G37">
        <v>0.3</v>
      </c>
      <c r="H37" s="35">
        <f t="shared" si="41"/>
        <v>0.46537500000000004</v>
      </c>
      <c r="I37" s="39">
        <f t="shared" si="8"/>
        <v>88.421250000000001</v>
      </c>
      <c r="J37" s="21"/>
      <c r="K37" s="20">
        <f t="shared" si="44"/>
        <v>363.52000000000004</v>
      </c>
      <c r="M37" t="str">
        <f t="shared" si="38"/>
        <v>Sengestald med spaltegulv (kanal, bagskyl eller ringkanal) - gylle</v>
      </c>
      <c r="N37" s="195" t="s">
        <v>210</v>
      </c>
      <c r="O37" s="662" t="s">
        <v>210</v>
      </c>
      <c r="P37" s="663"/>
      <c r="Q37" t="str">
        <f t="shared" si="39"/>
        <v>Sengestald med spaltegulv (kanal, bagskyl eller ringkanal)</v>
      </c>
      <c r="R37" t="str">
        <f t="shared" si="39"/>
        <v>gylle</v>
      </c>
      <c r="S37" s="561">
        <f t="shared" si="32"/>
        <v>39.513832258064518</v>
      </c>
      <c r="T37" s="561">
        <f t="shared" si="33"/>
        <v>26.577756221198158</v>
      </c>
      <c r="U37">
        <f t="shared" si="35"/>
        <v>0.3</v>
      </c>
      <c r="V37">
        <f t="shared" si="36"/>
        <v>0.46537500000000004</v>
      </c>
      <c r="W37">
        <f t="shared" si="37"/>
        <v>88.421250000000001</v>
      </c>
      <c r="Y37" s="561">
        <f t="shared" si="34"/>
        <v>285.00135520737331</v>
      </c>
      <c r="AA37" t="str">
        <f t="shared" si="40"/>
        <v>tku18_Sengestald med spaltegulv (kanal, bagskyl eller ringkanal) - gylle</v>
      </c>
    </row>
    <row r="38" spans="1:27" x14ac:dyDescent="0.25">
      <c r="A38" s="21">
        <v>1203</v>
      </c>
      <c r="B38">
        <v>16</v>
      </c>
      <c r="C38" t="s">
        <v>52</v>
      </c>
      <c r="D38" t="s">
        <v>23</v>
      </c>
      <c r="E38" s="132">
        <f t="shared" si="42"/>
        <v>50.4</v>
      </c>
      <c r="F38" s="20">
        <f t="shared" si="43"/>
        <v>33.9</v>
      </c>
      <c r="G38">
        <v>0.3</v>
      </c>
      <c r="H38" s="35">
        <f t="shared" si="41"/>
        <v>0.46537500000000004</v>
      </c>
      <c r="I38" s="39">
        <f t="shared" si="8"/>
        <v>88.421250000000001</v>
      </c>
      <c r="J38" s="21"/>
      <c r="K38" s="20">
        <f t="shared" si="44"/>
        <v>363.52000000000004</v>
      </c>
      <c r="M38" t="str">
        <f t="shared" si="38"/>
        <v>Sengestald, fast drænet gulv med skraber og ajleafløb *) - gylle</v>
      </c>
      <c r="N38" s="195" t="s">
        <v>210</v>
      </c>
      <c r="O38" s="662" t="s">
        <v>210</v>
      </c>
      <c r="P38" s="663"/>
      <c r="Q38" t="str">
        <f t="shared" si="39"/>
        <v>Sengestald, fast drænet gulv med skraber og ajleafløb *)</v>
      </c>
      <c r="R38" t="str">
        <f t="shared" si="39"/>
        <v>gylle</v>
      </c>
      <c r="S38" s="561">
        <f t="shared" si="32"/>
        <v>39.513832258064518</v>
      </c>
      <c r="T38" s="561">
        <f t="shared" si="33"/>
        <v>26.577756221198158</v>
      </c>
      <c r="U38">
        <f t="shared" si="35"/>
        <v>0.3</v>
      </c>
      <c r="V38">
        <f t="shared" si="36"/>
        <v>0.46537500000000004</v>
      </c>
      <c r="W38">
        <f t="shared" si="37"/>
        <v>88.421250000000001</v>
      </c>
      <c r="Y38" s="561">
        <f t="shared" si="34"/>
        <v>285.00135520737331</v>
      </c>
      <c r="AA38" t="str">
        <f t="shared" si="40"/>
        <v>tku18_Sengestald, fast drænet gulv med skraber og ajleafløb *) - gylle</v>
      </c>
    </row>
    <row r="39" spans="1:27" x14ac:dyDescent="0.25">
      <c r="A39" s="21">
        <v>1203</v>
      </c>
      <c r="B39">
        <v>6</v>
      </c>
      <c r="C39" t="s">
        <v>40</v>
      </c>
      <c r="D39" t="s">
        <v>27</v>
      </c>
      <c r="E39" s="132">
        <f t="shared" si="42"/>
        <v>50.4</v>
      </c>
      <c r="F39" s="20"/>
      <c r="G39">
        <v>6</v>
      </c>
      <c r="H39" s="35">
        <f t="shared" si="41"/>
        <v>9.3074999999999992</v>
      </c>
      <c r="I39" s="39">
        <f t="shared" si="8"/>
        <v>1768.425</v>
      </c>
      <c r="J39" s="21"/>
      <c r="K39" s="20">
        <f t="shared" si="44"/>
        <v>363.52000000000004</v>
      </c>
      <c r="M39" t="str">
        <f t="shared" si="38"/>
        <v>Dybstrøelse, hele arealet - dybstrøelse</v>
      </c>
      <c r="N39" s="195" t="s">
        <v>210</v>
      </c>
      <c r="O39" s="662" t="s">
        <v>210</v>
      </c>
      <c r="P39" s="663"/>
      <c r="Q39" t="str">
        <f t="shared" si="39"/>
        <v>Dybstrøelse, hele arealet</v>
      </c>
      <c r="R39" t="str">
        <f t="shared" si="39"/>
        <v>dybstrøelse</v>
      </c>
      <c r="S39" s="561">
        <f t="shared" si="32"/>
        <v>39.513832258064518</v>
      </c>
      <c r="T39" s="561">
        <f t="shared" si="33"/>
        <v>0</v>
      </c>
      <c r="U39">
        <f t="shared" si="35"/>
        <v>6</v>
      </c>
      <c r="V39">
        <f t="shared" si="36"/>
        <v>9.3074999999999992</v>
      </c>
      <c r="W39">
        <f t="shared" si="37"/>
        <v>1768.425</v>
      </c>
      <c r="Y39" s="561">
        <f t="shared" si="34"/>
        <v>285.00135520737331</v>
      </c>
      <c r="AA39" t="str">
        <f t="shared" si="40"/>
        <v>tku18_Dybstrøelse, hele arealet - dybstrøelse</v>
      </c>
    </row>
    <row r="40" spans="1:27" ht="16.5" customHeight="1" x14ac:dyDescent="0.25">
      <c r="A40" s="21">
        <v>1203</v>
      </c>
      <c r="B40">
        <v>7</v>
      </c>
      <c r="C40" t="s">
        <v>36</v>
      </c>
      <c r="D40" s="130" t="s">
        <v>27</v>
      </c>
      <c r="E40" s="132">
        <f>$E$31</f>
        <v>50.4</v>
      </c>
      <c r="F40" s="20"/>
      <c r="G40">
        <v>5</v>
      </c>
      <c r="H40" s="35">
        <f t="shared" si="41"/>
        <v>7.7562500000000005</v>
      </c>
      <c r="I40" s="39">
        <f t="shared" si="8"/>
        <v>1473.6874999999998</v>
      </c>
      <c r="J40" s="21"/>
      <c r="K40" s="20">
        <f t="shared" si="44"/>
        <v>363.52000000000004</v>
      </c>
      <c r="M40" t="str">
        <f t="shared" si="38"/>
        <v>Dybstrøelse + kort ædeplads med fast gulv - dybstrøelse</v>
      </c>
      <c r="N40" s="195" t="s">
        <v>210</v>
      </c>
      <c r="O40" s="662" t="s">
        <v>210</v>
      </c>
      <c r="P40" s="663"/>
      <c r="Q40" t="str">
        <f t="shared" si="39"/>
        <v>Dybstrøelse + kort ædeplads med fast gulv</v>
      </c>
      <c r="R40" t="str">
        <f t="shared" si="39"/>
        <v>dybstrøelse</v>
      </c>
      <c r="S40" s="561">
        <f t="shared" si="32"/>
        <v>39.513832258064518</v>
      </c>
      <c r="T40" s="561">
        <f t="shared" si="33"/>
        <v>0</v>
      </c>
      <c r="U40">
        <f t="shared" si="35"/>
        <v>5</v>
      </c>
      <c r="V40">
        <f t="shared" si="36"/>
        <v>7.7562500000000005</v>
      </c>
      <c r="W40">
        <f t="shared" si="37"/>
        <v>1473.6874999999998</v>
      </c>
      <c r="Y40" s="561">
        <f t="shared" si="34"/>
        <v>285.00135520737331</v>
      </c>
      <c r="AA40" t="str">
        <f t="shared" si="40"/>
        <v>tku18_Dybstrøelse + kort ædeplads med fast gulv - dybstrøelse</v>
      </c>
    </row>
    <row r="41" spans="1:27" x14ac:dyDescent="0.25">
      <c r="A41" s="21">
        <v>1203</v>
      </c>
      <c r="B41">
        <v>8</v>
      </c>
      <c r="C41" t="s">
        <v>28</v>
      </c>
      <c r="D41" s="130" t="s">
        <v>6</v>
      </c>
      <c r="E41" s="132">
        <f>$E$31*0.6</f>
        <v>30.24</v>
      </c>
      <c r="F41" s="20"/>
      <c r="G41">
        <v>5</v>
      </c>
      <c r="H41" s="35">
        <f t="shared" si="41"/>
        <v>7.7562500000000005</v>
      </c>
      <c r="I41" s="39">
        <f t="shared" si="8"/>
        <v>1473.6874999999998</v>
      </c>
      <c r="J41" s="21"/>
      <c r="K41" s="20">
        <f>$K$31*0.6</f>
        <v>218.11200000000002</v>
      </c>
      <c r="M41" t="str">
        <f t="shared" si="38"/>
        <v>Dybstrøelse, lang ædeplads med fast gulv - Dybstrøelse</v>
      </c>
      <c r="N41" s="195" t="s">
        <v>210</v>
      </c>
      <c r="O41" s="662" t="s">
        <v>210</v>
      </c>
      <c r="P41" s="663"/>
      <c r="Q41" t="str">
        <f t="shared" si="39"/>
        <v>Dybstrøelse, lang ædeplads med fast gulv</v>
      </c>
      <c r="R41" t="str">
        <f t="shared" si="39"/>
        <v>Dybstrøelse</v>
      </c>
      <c r="S41" s="561">
        <f t="shared" si="32"/>
        <v>23.708299354838708</v>
      </c>
      <c r="T41" s="561">
        <f t="shared" si="33"/>
        <v>0</v>
      </c>
      <c r="U41">
        <f t="shared" si="35"/>
        <v>5</v>
      </c>
      <c r="V41">
        <f t="shared" si="36"/>
        <v>7.7562500000000005</v>
      </c>
      <c r="W41">
        <f t="shared" si="37"/>
        <v>1473.6874999999998</v>
      </c>
      <c r="Y41" s="561">
        <f t="shared" si="34"/>
        <v>171.00081312442398</v>
      </c>
      <c r="AA41" t="str">
        <f t="shared" si="40"/>
        <v>tku18_Dybstrøelse, lang ædeplads med fast gulv - Dybstrøelse</v>
      </c>
    </row>
    <row r="42" spans="1:27" x14ac:dyDescent="0.25">
      <c r="A42" s="21">
        <v>1203</v>
      </c>
      <c r="B42">
        <v>8</v>
      </c>
      <c r="C42" t="s">
        <v>28</v>
      </c>
      <c r="D42" s="130" t="s">
        <v>23</v>
      </c>
      <c r="E42" s="132">
        <f>$E$31*0.4</f>
        <v>20.16</v>
      </c>
      <c r="F42" s="20">
        <f>$F$31*0.4</f>
        <v>13.56</v>
      </c>
      <c r="H42" s="35"/>
      <c r="I42" s="39">
        <f t="shared" si="8"/>
        <v>0</v>
      </c>
      <c r="J42" s="21"/>
      <c r="K42" s="20">
        <f>$K$31*0.4</f>
        <v>145.40800000000002</v>
      </c>
      <c r="M42" t="str">
        <f t="shared" si="38"/>
        <v>Dybstrøelse, lang ædeplads med fast gulv - gylle</v>
      </c>
      <c r="N42" s="195" t="s">
        <v>210</v>
      </c>
      <c r="O42" s="662" t="s">
        <v>210</v>
      </c>
      <c r="P42" s="663"/>
      <c r="Q42" t="str">
        <f t="shared" si="39"/>
        <v>Dybstrøelse, lang ædeplads med fast gulv</v>
      </c>
      <c r="R42" t="str">
        <f t="shared" si="39"/>
        <v>gylle</v>
      </c>
      <c r="S42" s="561">
        <f t="shared" si="32"/>
        <v>15.805532903225807</v>
      </c>
      <c r="T42" s="561">
        <f t="shared" si="33"/>
        <v>10.631102488479263</v>
      </c>
      <c r="U42">
        <f t="shared" si="35"/>
        <v>0</v>
      </c>
      <c r="V42">
        <f t="shared" si="36"/>
        <v>0</v>
      </c>
      <c r="W42">
        <f t="shared" si="37"/>
        <v>0</v>
      </c>
      <c r="Y42" s="561">
        <f t="shared" si="34"/>
        <v>114.00054208294932</v>
      </c>
      <c r="AA42" t="str">
        <f t="shared" si="40"/>
        <v>tku18_Dybstrøelse, lang ædeplads med fast gulv - gylle</v>
      </c>
    </row>
    <row r="43" spans="1:27" x14ac:dyDescent="0.25">
      <c r="A43" s="21">
        <v>1203</v>
      </c>
      <c r="B43">
        <v>9</v>
      </c>
      <c r="C43" t="s">
        <v>29</v>
      </c>
      <c r="D43" s="130" t="s">
        <v>6</v>
      </c>
      <c r="E43" s="132">
        <f>$E$31*0.6</f>
        <v>30.24</v>
      </c>
      <c r="F43" s="20"/>
      <c r="G43">
        <v>5</v>
      </c>
      <c r="H43" s="35">
        <f>G43*0.85*365*$H$5</f>
        <v>7.7562500000000005</v>
      </c>
      <c r="I43" s="39">
        <f t="shared" si="8"/>
        <v>1473.6874999999998</v>
      </c>
      <c r="J43" s="21"/>
      <c r="K43" s="20">
        <f>$K$31*0.6</f>
        <v>218.11200000000002</v>
      </c>
      <c r="M43" t="str">
        <f t="shared" si="38"/>
        <v>Dybstrøelse, lang ædeplads med spalter (kanal, linespil) - Dybstrøelse</v>
      </c>
      <c r="N43" s="195" t="s">
        <v>210</v>
      </c>
      <c r="O43" s="662" t="s">
        <v>210</v>
      </c>
      <c r="P43" s="663"/>
      <c r="Q43" t="str">
        <f t="shared" si="39"/>
        <v>Dybstrøelse, lang ædeplads med spalter (kanal, linespil)</v>
      </c>
      <c r="R43" t="str">
        <f t="shared" si="39"/>
        <v>Dybstrøelse</v>
      </c>
      <c r="S43" s="561">
        <f t="shared" si="32"/>
        <v>23.708299354838708</v>
      </c>
      <c r="T43" s="561">
        <f t="shared" si="33"/>
        <v>0</v>
      </c>
      <c r="U43">
        <f t="shared" si="35"/>
        <v>5</v>
      </c>
      <c r="V43">
        <f t="shared" si="36"/>
        <v>7.7562500000000005</v>
      </c>
      <c r="W43">
        <f t="shared" si="37"/>
        <v>1473.6874999999998</v>
      </c>
      <c r="Y43" s="561">
        <f t="shared" si="34"/>
        <v>171.00081312442398</v>
      </c>
      <c r="AA43" t="str">
        <f t="shared" si="40"/>
        <v>tku18_Dybstrøelse, lang ædeplads med spalter (kanal, linespil) - Dybstrøelse</v>
      </c>
    </row>
    <row r="44" spans="1:27" x14ac:dyDescent="0.25">
      <c r="A44" s="21">
        <v>1203</v>
      </c>
      <c r="B44">
        <v>9</v>
      </c>
      <c r="C44" t="s">
        <v>29</v>
      </c>
      <c r="D44" s="130" t="s">
        <v>23</v>
      </c>
      <c r="E44" s="132">
        <f>$E$31*0.4</f>
        <v>20.16</v>
      </c>
      <c r="F44" s="20">
        <f>$F$31*0.4</f>
        <v>13.56</v>
      </c>
      <c r="H44" s="35"/>
      <c r="I44" s="39">
        <f t="shared" si="8"/>
        <v>0</v>
      </c>
      <c r="J44" s="21"/>
      <c r="K44" s="20">
        <f>$K$31*0.4</f>
        <v>145.40800000000002</v>
      </c>
      <c r="M44" t="str">
        <f t="shared" si="38"/>
        <v>Dybstrøelse, lang ædeplads med spalter (kanal, linespil) - gylle</v>
      </c>
      <c r="N44" s="195" t="s">
        <v>210</v>
      </c>
      <c r="O44" s="662" t="s">
        <v>210</v>
      </c>
      <c r="P44" s="663"/>
      <c r="Q44" t="str">
        <f t="shared" si="39"/>
        <v>Dybstrøelse, lang ædeplads med spalter (kanal, linespil)</v>
      </c>
      <c r="R44" t="str">
        <f t="shared" si="39"/>
        <v>gylle</v>
      </c>
      <c r="S44" s="561">
        <f t="shared" si="32"/>
        <v>15.805532903225807</v>
      </c>
      <c r="T44" s="561">
        <f t="shared" si="33"/>
        <v>10.631102488479263</v>
      </c>
      <c r="U44">
        <f t="shared" si="35"/>
        <v>0</v>
      </c>
      <c r="V44">
        <f t="shared" si="36"/>
        <v>0</v>
      </c>
      <c r="W44">
        <f t="shared" si="37"/>
        <v>0</v>
      </c>
      <c r="Y44" s="561">
        <f t="shared" si="34"/>
        <v>114.00054208294932</v>
      </c>
      <c r="AA44" t="str">
        <f t="shared" si="40"/>
        <v>tku18_Dybstrøelse, lang ædeplads med spalter (kanal, linespil) - gylle</v>
      </c>
    </row>
    <row r="45" spans="1:27" x14ac:dyDescent="0.25">
      <c r="A45" s="21">
        <v>1203</v>
      </c>
      <c r="B45">
        <v>10</v>
      </c>
      <c r="C45" t="s">
        <v>30</v>
      </c>
      <c r="D45" s="130" t="s">
        <v>6</v>
      </c>
      <c r="E45" s="132">
        <f>$E$31*0.6</f>
        <v>30.24</v>
      </c>
      <c r="F45" s="20"/>
      <c r="G45">
        <v>5</v>
      </c>
      <c r="H45" s="35">
        <f>G45*0.85*365*$H$5</f>
        <v>7.7562500000000005</v>
      </c>
      <c r="I45" s="39">
        <f t="shared" si="8"/>
        <v>1473.6874999999998</v>
      </c>
      <c r="J45" s="21"/>
      <c r="K45" s="20">
        <f>$K$31*0.6</f>
        <v>218.11200000000002</v>
      </c>
      <c r="M45" t="str">
        <f t="shared" si="38"/>
        <v>Dybstrøelse, lang ædeplads med spalter (kanal, bagskyl eller ringkanal) - Dybstrøelse</v>
      </c>
      <c r="N45" s="195" t="s">
        <v>210</v>
      </c>
      <c r="O45" s="662" t="s">
        <v>210</v>
      </c>
      <c r="P45" s="663"/>
      <c r="Q45" t="str">
        <f t="shared" si="39"/>
        <v>Dybstrøelse, lang ædeplads med spalter (kanal, bagskyl eller ringkanal)</v>
      </c>
      <c r="R45" t="str">
        <f t="shared" si="39"/>
        <v>Dybstrøelse</v>
      </c>
      <c r="S45" s="561">
        <f t="shared" si="32"/>
        <v>23.708299354838708</v>
      </c>
      <c r="T45" s="561">
        <f t="shared" si="33"/>
        <v>0</v>
      </c>
      <c r="U45">
        <f t="shared" si="35"/>
        <v>5</v>
      </c>
      <c r="V45">
        <f t="shared" si="36"/>
        <v>7.7562500000000005</v>
      </c>
      <c r="W45">
        <f t="shared" si="37"/>
        <v>1473.6874999999998</v>
      </c>
      <c r="Y45" s="561">
        <f t="shared" si="34"/>
        <v>171.00081312442398</v>
      </c>
      <c r="AA45" t="str">
        <f t="shared" si="40"/>
        <v>tku18_Dybstrøelse, lang ædeplads med spalter (kanal, bagskyl eller ringkanal) - Dybstrøelse</v>
      </c>
    </row>
    <row r="46" spans="1:27" x14ac:dyDescent="0.25">
      <c r="A46" s="21">
        <v>1203</v>
      </c>
      <c r="B46">
        <v>10</v>
      </c>
      <c r="C46" t="s">
        <v>30</v>
      </c>
      <c r="D46" s="130" t="s">
        <v>23</v>
      </c>
      <c r="E46" s="132">
        <f>$E$31*0.4</f>
        <v>20.16</v>
      </c>
      <c r="F46" s="20">
        <f>$F$31*0.4</f>
        <v>13.56</v>
      </c>
      <c r="H46" s="35"/>
      <c r="I46" s="39">
        <f t="shared" si="8"/>
        <v>0</v>
      </c>
      <c r="J46" s="21"/>
      <c r="K46" s="20">
        <f>$K$31*0.4</f>
        <v>145.40800000000002</v>
      </c>
      <c r="M46" t="str">
        <f t="shared" si="38"/>
        <v>Dybstrøelse, lang ædeplads med spalter (kanal, bagskyl eller ringkanal) - gylle</v>
      </c>
      <c r="N46" s="195" t="s">
        <v>210</v>
      </c>
      <c r="O46" s="662" t="s">
        <v>210</v>
      </c>
      <c r="P46" s="663"/>
      <c r="Q46" t="str">
        <f t="shared" si="39"/>
        <v>Dybstrøelse, lang ædeplads med spalter (kanal, bagskyl eller ringkanal)</v>
      </c>
      <c r="R46" t="str">
        <f t="shared" si="39"/>
        <v>gylle</v>
      </c>
      <c r="S46" s="561">
        <f t="shared" si="32"/>
        <v>15.805532903225807</v>
      </c>
      <c r="T46" s="561">
        <f t="shared" si="33"/>
        <v>10.631102488479263</v>
      </c>
      <c r="U46">
        <f t="shared" si="35"/>
        <v>0</v>
      </c>
      <c r="V46">
        <f t="shared" si="36"/>
        <v>0</v>
      </c>
      <c r="W46">
        <f t="shared" si="37"/>
        <v>0</v>
      </c>
      <c r="Y46" s="561">
        <f t="shared" si="34"/>
        <v>114.00054208294932</v>
      </c>
      <c r="AA46" t="str">
        <f t="shared" si="40"/>
        <v>tku18_Dybstrøelse, lang ædeplads med spalter (kanal, bagskyl eller ringkanal) - gylle</v>
      </c>
    </row>
    <row r="47" spans="1:27" x14ac:dyDescent="0.25">
      <c r="A47">
        <v>1203</v>
      </c>
      <c r="B47">
        <v>12</v>
      </c>
      <c r="C47" t="s">
        <v>41</v>
      </c>
      <c r="D47" s="130" t="s">
        <v>23</v>
      </c>
      <c r="E47" s="132">
        <f t="shared" si="42"/>
        <v>50.4</v>
      </c>
      <c r="F47" s="20">
        <f t="shared" si="43"/>
        <v>33.9</v>
      </c>
      <c r="H47" s="35"/>
      <c r="I47" s="39">
        <f t="shared" si="8"/>
        <v>0</v>
      </c>
      <c r="J47" s="21"/>
      <c r="K47" s="20">
        <f>$K$31</f>
        <v>363.52000000000004</v>
      </c>
      <c r="M47" t="str">
        <f t="shared" si="38"/>
        <v>Spaltegulvbokse - gylle</v>
      </c>
      <c r="N47" s="195" t="s">
        <v>210</v>
      </c>
      <c r="O47" s="662" t="s">
        <v>210</v>
      </c>
      <c r="P47" s="663"/>
      <c r="Q47" t="str">
        <f t="shared" si="39"/>
        <v>Spaltegulvbokse</v>
      </c>
      <c r="R47" t="str">
        <f t="shared" si="39"/>
        <v>gylle</v>
      </c>
      <c r="S47" s="561">
        <f t="shared" si="32"/>
        <v>39.513832258064518</v>
      </c>
      <c r="T47" s="561">
        <f t="shared" si="33"/>
        <v>26.577756221198158</v>
      </c>
      <c r="U47">
        <f t="shared" si="35"/>
        <v>0</v>
      </c>
      <c r="V47">
        <f t="shared" si="36"/>
        <v>0</v>
      </c>
      <c r="W47">
        <f t="shared" si="37"/>
        <v>0</v>
      </c>
      <c r="Y47" s="561">
        <f t="shared" si="34"/>
        <v>285.00135520737331</v>
      </c>
      <c r="AA47" t="str">
        <f t="shared" si="40"/>
        <v>tku18_Spaltegulvbokse - gylle</v>
      </c>
    </row>
    <row r="48" spans="1:27" x14ac:dyDescent="0.25">
      <c r="D48" s="130"/>
      <c r="F48" s="20"/>
      <c r="H48" s="35"/>
      <c r="I48" s="39"/>
      <c r="J48" s="21"/>
      <c r="K48" s="20"/>
      <c r="N48" s="195" t="s">
        <v>210</v>
      </c>
      <c r="O48" s="662" t="s">
        <v>210</v>
      </c>
      <c r="P48" s="663"/>
      <c r="S48" s="236"/>
      <c r="T48" s="236"/>
      <c r="Y48" s="236"/>
    </row>
    <row r="49" spans="4:27" x14ac:dyDescent="0.25">
      <c r="D49" s="130"/>
      <c r="F49" s="20"/>
      <c r="H49" s="35"/>
      <c r="I49" s="39"/>
      <c r="J49" s="21"/>
      <c r="K49" s="20"/>
      <c r="O49" s="662" t="s">
        <v>210</v>
      </c>
      <c r="P49" s="663"/>
      <c r="S49" s="236"/>
      <c r="T49" s="236"/>
      <c r="Y49" s="236"/>
    </row>
    <row r="50" spans="4:27" x14ac:dyDescent="0.25">
      <c r="D50" s="130"/>
      <c r="F50" s="20"/>
      <c r="H50" s="35"/>
      <c r="I50" s="39"/>
      <c r="J50" s="21"/>
      <c r="K50" s="20"/>
      <c r="N50" s="134" t="str">
        <f>C30</f>
        <v>Årsopdræt 6 mdr. til kælvning (27 mdr) (kvier og stude), tung race</v>
      </c>
      <c r="O50" s="662"/>
      <c r="P50" s="663"/>
      <c r="Q50" s="12" t="s">
        <v>275</v>
      </c>
      <c r="S50" s="236">
        <f t="shared" ref="S50:S66" si="45">E31*$P$51</f>
        <v>48.487587096774199</v>
      </c>
      <c r="T50" s="236">
        <f t="shared" ref="T50:T66" si="46">F31*$P$51</f>
        <v>32.613674654377881</v>
      </c>
      <c r="Y50" s="236">
        <f t="shared" ref="Y50:Y66" si="47">K31*$P$51</f>
        <v>349.7263424884793</v>
      </c>
    </row>
    <row r="51" spans="4:27" x14ac:dyDescent="0.25">
      <c r="D51" s="130"/>
      <c r="F51" s="20"/>
      <c r="H51" s="35"/>
      <c r="I51" s="39"/>
      <c r="J51" s="21"/>
      <c r="K51" s="20"/>
      <c r="N51" s="195" t="s">
        <v>205</v>
      </c>
      <c r="O51" s="662" t="s">
        <v>258</v>
      </c>
      <c r="P51" s="663">
        <f>(((6+ 24.8) * 0.0729) + 1.93) / 4.34</f>
        <v>0.96205529953917057</v>
      </c>
      <c r="Q51" t="str">
        <f t="shared" ref="Q51:Q66" si="48">C32</f>
        <v>Bindestald med grebning</v>
      </c>
      <c r="R51" t="str">
        <f t="shared" ref="R51:R66" si="49">D32</f>
        <v>fast gødning</v>
      </c>
      <c r="S51" s="236">
        <f t="shared" si="45"/>
        <v>29.092552258064515</v>
      </c>
      <c r="T51" s="236">
        <f t="shared" si="46"/>
        <v>19.56820479262673</v>
      </c>
      <c r="U51">
        <f t="shared" ref="U51:U66" si="50">G32</f>
        <v>0.75</v>
      </c>
      <c r="V51">
        <f t="shared" ref="V51:V66" si="51">H32</f>
        <v>1.1634374999999999</v>
      </c>
      <c r="W51">
        <f t="shared" ref="W51:W66" si="52">I32</f>
        <v>221.05312499999999</v>
      </c>
      <c r="Y51" s="236">
        <f t="shared" si="47"/>
        <v>209.83580549308761</v>
      </c>
      <c r="AA51" t="str">
        <f>$O$51&amp;"_"&amp;Q51&amp;" - "&amp;R51</f>
        <v>tko18_Bindestald med grebning - fast gødning</v>
      </c>
    </row>
    <row r="52" spans="4:27" x14ac:dyDescent="0.25">
      <c r="D52" s="130"/>
      <c r="F52" s="20"/>
      <c r="H52" s="35"/>
      <c r="I52" s="39"/>
      <c r="J52" s="21"/>
      <c r="K52" s="20"/>
      <c r="N52" s="195" t="s">
        <v>208</v>
      </c>
      <c r="O52" s="664" t="s">
        <v>355</v>
      </c>
      <c r="P52" s="663"/>
      <c r="Q52" t="str">
        <f t="shared" si="48"/>
        <v>Bindestald med grebning</v>
      </c>
      <c r="R52" t="str">
        <f t="shared" si="49"/>
        <v>ajle</v>
      </c>
      <c r="S52" s="236">
        <f t="shared" si="45"/>
        <v>19.39503483870968</v>
      </c>
      <c r="T52" s="236">
        <f t="shared" si="46"/>
        <v>13.045469861751153</v>
      </c>
      <c r="U52">
        <f t="shared" si="50"/>
        <v>0</v>
      </c>
      <c r="V52">
        <f t="shared" si="51"/>
        <v>0</v>
      </c>
      <c r="W52">
        <f t="shared" si="52"/>
        <v>0</v>
      </c>
      <c r="Y52" s="236">
        <f t="shared" si="47"/>
        <v>139.89053699539173</v>
      </c>
      <c r="AA52" t="str">
        <f t="shared" ref="AA52:AA66" si="53">$O$51&amp;"_"&amp;Q52&amp;" - "&amp;R52</f>
        <v>tko18_Bindestald med grebning - ajle</v>
      </c>
    </row>
    <row r="53" spans="4:27" x14ac:dyDescent="0.25">
      <c r="D53" s="130"/>
      <c r="F53" s="20"/>
      <c r="H53" s="35"/>
      <c r="I53" s="39"/>
      <c r="J53" s="21"/>
      <c r="K53" s="20"/>
      <c r="N53" s="195" t="s">
        <v>210</v>
      </c>
      <c r="O53" s="662" t="s">
        <v>210</v>
      </c>
      <c r="P53" s="663"/>
      <c r="Q53" t="str">
        <f t="shared" si="48"/>
        <v>Bindestald med riste</v>
      </c>
      <c r="R53" t="str">
        <f t="shared" si="49"/>
        <v>gylle</v>
      </c>
      <c r="S53" s="236">
        <f t="shared" si="45"/>
        <v>48.487587096774199</v>
      </c>
      <c r="T53" s="236">
        <f t="shared" si="46"/>
        <v>32.613674654377881</v>
      </c>
      <c r="U53">
        <f t="shared" si="50"/>
        <v>0.75</v>
      </c>
      <c r="V53">
        <f t="shared" si="51"/>
        <v>1.1634374999999999</v>
      </c>
      <c r="W53">
        <f t="shared" si="52"/>
        <v>221.05312499999999</v>
      </c>
      <c r="Y53" s="236">
        <f t="shared" si="47"/>
        <v>349.7263424884793</v>
      </c>
      <c r="AA53" t="str">
        <f t="shared" si="53"/>
        <v>tko18_Bindestald med riste - gylle</v>
      </c>
    </row>
    <row r="54" spans="4:27" x14ac:dyDescent="0.25">
      <c r="D54" s="130"/>
      <c r="F54" s="20"/>
      <c r="H54" s="35"/>
      <c r="I54" s="39"/>
      <c r="J54" s="21"/>
      <c r="K54" s="20"/>
      <c r="O54" s="662" t="s">
        <v>210</v>
      </c>
      <c r="P54" s="663"/>
      <c r="Q54" t="str">
        <f t="shared" si="48"/>
        <v>Sengestald med fast gulv</v>
      </c>
      <c r="R54" t="str">
        <f t="shared" si="49"/>
        <v>gylle</v>
      </c>
      <c r="S54" s="236">
        <f t="shared" si="45"/>
        <v>48.487587096774199</v>
      </c>
      <c r="T54" s="236">
        <f t="shared" si="46"/>
        <v>32.613674654377881</v>
      </c>
      <c r="U54">
        <f t="shared" si="50"/>
        <v>0.3</v>
      </c>
      <c r="V54">
        <f t="shared" si="51"/>
        <v>0.46537500000000004</v>
      </c>
      <c r="W54">
        <f t="shared" si="52"/>
        <v>88.421250000000001</v>
      </c>
      <c r="Y54" s="236">
        <f t="shared" si="47"/>
        <v>349.7263424884793</v>
      </c>
      <c r="AA54" t="str">
        <f t="shared" si="53"/>
        <v>tko18_Sengestald med fast gulv - gylle</v>
      </c>
    </row>
    <row r="55" spans="4:27" x14ac:dyDescent="0.25">
      <c r="D55" s="130"/>
      <c r="F55" s="20"/>
      <c r="H55" s="35"/>
      <c r="I55" s="39"/>
      <c r="J55" s="21"/>
      <c r="K55" s="20"/>
      <c r="O55" s="662" t="s">
        <v>210</v>
      </c>
      <c r="P55" s="663"/>
      <c r="Q55" t="str">
        <f t="shared" si="48"/>
        <v>Sengestald med spaltegulv (kanal, line- spil)</v>
      </c>
      <c r="R55" t="str">
        <f t="shared" si="49"/>
        <v>gylle</v>
      </c>
      <c r="S55" s="236">
        <f t="shared" si="45"/>
        <v>48.487587096774199</v>
      </c>
      <c r="T55" s="236">
        <f t="shared" si="46"/>
        <v>32.613674654377881</v>
      </c>
      <c r="U55">
        <f t="shared" si="50"/>
        <v>0.3</v>
      </c>
      <c r="V55">
        <f t="shared" si="51"/>
        <v>0.46537500000000004</v>
      </c>
      <c r="W55">
        <f t="shared" si="52"/>
        <v>88.421250000000001</v>
      </c>
      <c r="Y55" s="236">
        <f t="shared" si="47"/>
        <v>349.7263424884793</v>
      </c>
      <c r="AA55" t="str">
        <f t="shared" si="53"/>
        <v>tko18_Sengestald med spaltegulv (kanal, line- spil) - gylle</v>
      </c>
    </row>
    <row r="56" spans="4:27" x14ac:dyDescent="0.25">
      <c r="D56" s="130"/>
      <c r="F56" s="20"/>
      <c r="H56" s="35"/>
      <c r="I56" s="39"/>
      <c r="J56" s="21"/>
      <c r="K56" s="20"/>
      <c r="O56" s="662" t="s">
        <v>210</v>
      </c>
      <c r="P56" s="663"/>
      <c r="Q56" t="str">
        <f t="shared" si="48"/>
        <v>Sengestald med spaltegulv (kanal, bagskyl eller ringkanal)</v>
      </c>
      <c r="R56" t="str">
        <f t="shared" si="49"/>
        <v>gylle</v>
      </c>
      <c r="S56" s="236">
        <f t="shared" si="45"/>
        <v>48.487587096774199</v>
      </c>
      <c r="T56" s="236">
        <f t="shared" si="46"/>
        <v>32.613674654377881</v>
      </c>
      <c r="U56">
        <f t="shared" si="50"/>
        <v>0.3</v>
      </c>
      <c r="V56">
        <f t="shared" si="51"/>
        <v>0.46537500000000004</v>
      </c>
      <c r="W56">
        <f t="shared" si="52"/>
        <v>88.421250000000001</v>
      </c>
      <c r="Y56" s="236">
        <f t="shared" si="47"/>
        <v>349.7263424884793</v>
      </c>
      <c r="AA56" t="str">
        <f t="shared" si="53"/>
        <v>tko18_Sengestald med spaltegulv (kanal, bagskyl eller ringkanal) - gylle</v>
      </c>
    </row>
    <row r="57" spans="4:27" x14ac:dyDescent="0.25">
      <c r="D57" s="130"/>
      <c r="F57" s="20"/>
      <c r="H57" s="35"/>
      <c r="I57" s="39"/>
      <c r="J57" s="21"/>
      <c r="K57" s="20"/>
      <c r="O57" s="662" t="s">
        <v>210</v>
      </c>
      <c r="P57" s="663"/>
      <c r="Q57" t="str">
        <f t="shared" si="48"/>
        <v>Sengestald, fast drænet gulv med skraber og ajleafløb *)</v>
      </c>
      <c r="R57" t="str">
        <f t="shared" si="49"/>
        <v>gylle</v>
      </c>
      <c r="S57" s="236">
        <f t="shared" si="45"/>
        <v>48.487587096774199</v>
      </c>
      <c r="T57" s="236">
        <f t="shared" si="46"/>
        <v>32.613674654377881</v>
      </c>
      <c r="U57">
        <f t="shared" si="50"/>
        <v>0.3</v>
      </c>
      <c r="V57">
        <f t="shared" si="51"/>
        <v>0.46537500000000004</v>
      </c>
      <c r="W57">
        <f t="shared" si="52"/>
        <v>88.421250000000001</v>
      </c>
      <c r="Y57" s="236">
        <f t="shared" si="47"/>
        <v>349.7263424884793</v>
      </c>
      <c r="AA57" t="str">
        <f t="shared" si="53"/>
        <v>tko18_Sengestald, fast drænet gulv med skraber og ajleafløb *) - gylle</v>
      </c>
    </row>
    <row r="58" spans="4:27" x14ac:dyDescent="0.25">
      <c r="D58" s="130"/>
      <c r="F58" s="20"/>
      <c r="H58" s="35"/>
      <c r="I58" s="39"/>
      <c r="J58" s="21"/>
      <c r="K58" s="20"/>
      <c r="O58" s="662" t="s">
        <v>210</v>
      </c>
      <c r="P58" s="663"/>
      <c r="Q58" t="str">
        <f t="shared" si="48"/>
        <v>Dybstrøelse, hele arealet</v>
      </c>
      <c r="R58" t="str">
        <f t="shared" si="49"/>
        <v>dybstrøelse</v>
      </c>
      <c r="S58" s="236">
        <f t="shared" si="45"/>
        <v>48.487587096774199</v>
      </c>
      <c r="T58" s="236">
        <f t="shared" si="46"/>
        <v>0</v>
      </c>
      <c r="U58">
        <f t="shared" si="50"/>
        <v>6</v>
      </c>
      <c r="V58">
        <f t="shared" si="51"/>
        <v>9.3074999999999992</v>
      </c>
      <c r="W58">
        <f t="shared" si="52"/>
        <v>1768.425</v>
      </c>
      <c r="Y58" s="236">
        <f t="shared" si="47"/>
        <v>349.7263424884793</v>
      </c>
      <c r="AA58" t="str">
        <f t="shared" si="53"/>
        <v>tko18_Dybstrøelse, hele arealet - dybstrøelse</v>
      </c>
    </row>
    <row r="59" spans="4:27" x14ac:dyDescent="0.25">
      <c r="D59" s="130"/>
      <c r="F59" s="20"/>
      <c r="H59" s="35"/>
      <c r="I59" s="39"/>
      <c r="J59" s="21"/>
      <c r="K59" s="20"/>
      <c r="O59" s="662" t="s">
        <v>210</v>
      </c>
      <c r="P59" s="663"/>
      <c r="Q59" t="str">
        <f t="shared" si="48"/>
        <v>Dybstrøelse + kort ædeplads med fast gulv</v>
      </c>
      <c r="R59" t="str">
        <f t="shared" si="49"/>
        <v>dybstrøelse</v>
      </c>
      <c r="S59" s="236">
        <f t="shared" si="45"/>
        <v>48.487587096774199</v>
      </c>
      <c r="T59" s="236">
        <f t="shared" si="46"/>
        <v>0</v>
      </c>
      <c r="U59">
        <f t="shared" si="50"/>
        <v>5</v>
      </c>
      <c r="V59">
        <f t="shared" si="51"/>
        <v>7.7562500000000005</v>
      </c>
      <c r="W59">
        <f t="shared" si="52"/>
        <v>1473.6874999999998</v>
      </c>
      <c r="Y59" s="236">
        <f t="shared" si="47"/>
        <v>349.7263424884793</v>
      </c>
      <c r="AA59" t="str">
        <f t="shared" si="53"/>
        <v>tko18_Dybstrøelse + kort ædeplads med fast gulv - dybstrøelse</v>
      </c>
    </row>
    <row r="60" spans="4:27" x14ac:dyDescent="0.25">
      <c r="D60" s="130"/>
      <c r="F60" s="20"/>
      <c r="H60" s="35"/>
      <c r="I60" s="39"/>
      <c r="J60" s="21"/>
      <c r="K60" s="20"/>
      <c r="O60" s="662" t="s">
        <v>210</v>
      </c>
      <c r="P60" s="663"/>
      <c r="Q60" t="str">
        <f t="shared" si="48"/>
        <v>Dybstrøelse, lang ædeplads med fast gulv</v>
      </c>
      <c r="R60" t="str">
        <f t="shared" si="49"/>
        <v>Dybstrøelse</v>
      </c>
      <c r="S60" s="236">
        <f t="shared" si="45"/>
        <v>29.092552258064515</v>
      </c>
      <c r="T60" s="236">
        <f t="shared" si="46"/>
        <v>0</v>
      </c>
      <c r="U60">
        <f t="shared" si="50"/>
        <v>5</v>
      </c>
      <c r="V60">
        <f t="shared" si="51"/>
        <v>7.7562500000000005</v>
      </c>
      <c r="W60">
        <f t="shared" si="52"/>
        <v>1473.6874999999998</v>
      </c>
      <c r="Y60" s="236">
        <f t="shared" si="47"/>
        <v>209.83580549308761</v>
      </c>
      <c r="AA60" t="str">
        <f t="shared" si="53"/>
        <v>tko18_Dybstrøelse, lang ædeplads med fast gulv - Dybstrøelse</v>
      </c>
    </row>
    <row r="61" spans="4:27" x14ac:dyDescent="0.25">
      <c r="D61" s="130"/>
      <c r="F61" s="20"/>
      <c r="H61" s="35"/>
      <c r="I61" s="39"/>
      <c r="J61" s="21"/>
      <c r="K61" s="20"/>
      <c r="O61" s="662" t="s">
        <v>210</v>
      </c>
      <c r="P61" s="663"/>
      <c r="Q61" t="str">
        <f t="shared" si="48"/>
        <v>Dybstrøelse, lang ædeplads med fast gulv</v>
      </c>
      <c r="R61" t="str">
        <f t="shared" si="49"/>
        <v>gylle</v>
      </c>
      <c r="S61" s="236">
        <f t="shared" si="45"/>
        <v>19.39503483870968</v>
      </c>
      <c r="T61" s="236">
        <f t="shared" si="46"/>
        <v>13.045469861751153</v>
      </c>
      <c r="U61">
        <f t="shared" si="50"/>
        <v>0</v>
      </c>
      <c r="V61">
        <f t="shared" si="51"/>
        <v>0</v>
      </c>
      <c r="W61">
        <f t="shared" si="52"/>
        <v>0</v>
      </c>
      <c r="Y61" s="236">
        <f t="shared" si="47"/>
        <v>139.89053699539173</v>
      </c>
      <c r="AA61" t="str">
        <f t="shared" si="53"/>
        <v>tko18_Dybstrøelse, lang ædeplads med fast gulv - gylle</v>
      </c>
    </row>
    <row r="62" spans="4:27" x14ac:dyDescent="0.25">
      <c r="D62" s="130"/>
      <c r="F62" s="20"/>
      <c r="H62" s="35"/>
      <c r="I62" s="39"/>
      <c r="J62" s="21"/>
      <c r="K62" s="20"/>
      <c r="O62" s="662" t="s">
        <v>210</v>
      </c>
      <c r="P62" s="663"/>
      <c r="Q62" t="str">
        <f t="shared" si="48"/>
        <v>Dybstrøelse, lang ædeplads med spalter (kanal, linespil)</v>
      </c>
      <c r="R62" t="str">
        <f t="shared" si="49"/>
        <v>Dybstrøelse</v>
      </c>
      <c r="S62" s="236">
        <f t="shared" si="45"/>
        <v>29.092552258064515</v>
      </c>
      <c r="T62" s="236">
        <f t="shared" si="46"/>
        <v>0</v>
      </c>
      <c r="U62">
        <f t="shared" si="50"/>
        <v>5</v>
      </c>
      <c r="V62">
        <f t="shared" si="51"/>
        <v>7.7562500000000005</v>
      </c>
      <c r="W62">
        <f t="shared" si="52"/>
        <v>1473.6874999999998</v>
      </c>
      <c r="Y62" s="236">
        <f t="shared" si="47"/>
        <v>209.83580549308761</v>
      </c>
      <c r="AA62" t="str">
        <f t="shared" si="53"/>
        <v>tko18_Dybstrøelse, lang ædeplads med spalter (kanal, linespil) - Dybstrøelse</v>
      </c>
    </row>
    <row r="63" spans="4:27" x14ac:dyDescent="0.25">
      <c r="D63" s="130"/>
      <c r="F63" s="20"/>
      <c r="H63" s="35"/>
      <c r="I63" s="39"/>
      <c r="J63" s="21"/>
      <c r="K63" s="20"/>
      <c r="O63" s="662" t="s">
        <v>210</v>
      </c>
      <c r="P63" s="663"/>
      <c r="Q63" t="str">
        <f t="shared" si="48"/>
        <v>Dybstrøelse, lang ædeplads med spalter (kanal, linespil)</v>
      </c>
      <c r="R63" t="str">
        <f t="shared" si="49"/>
        <v>gylle</v>
      </c>
      <c r="S63" s="236">
        <f t="shared" si="45"/>
        <v>19.39503483870968</v>
      </c>
      <c r="T63" s="236">
        <f t="shared" si="46"/>
        <v>13.045469861751153</v>
      </c>
      <c r="U63">
        <f t="shared" si="50"/>
        <v>0</v>
      </c>
      <c r="V63">
        <f t="shared" si="51"/>
        <v>0</v>
      </c>
      <c r="W63">
        <f t="shared" si="52"/>
        <v>0</v>
      </c>
      <c r="Y63" s="236">
        <f t="shared" si="47"/>
        <v>139.89053699539173</v>
      </c>
      <c r="AA63" t="str">
        <f t="shared" si="53"/>
        <v>tko18_Dybstrøelse, lang ædeplads med spalter (kanal, linespil) - gylle</v>
      </c>
    </row>
    <row r="64" spans="4:27" x14ac:dyDescent="0.25">
      <c r="D64" s="130"/>
      <c r="F64" s="20"/>
      <c r="H64" s="35"/>
      <c r="I64" s="39"/>
      <c r="J64" s="21"/>
      <c r="K64" s="20"/>
      <c r="O64" s="662" t="s">
        <v>210</v>
      </c>
      <c r="P64" s="663"/>
      <c r="Q64" t="str">
        <f t="shared" si="48"/>
        <v>Dybstrøelse, lang ædeplads med spalter (kanal, bagskyl eller ringkanal)</v>
      </c>
      <c r="R64" t="str">
        <f t="shared" si="49"/>
        <v>Dybstrøelse</v>
      </c>
      <c r="S64" s="236">
        <f t="shared" si="45"/>
        <v>29.092552258064515</v>
      </c>
      <c r="T64" s="236">
        <f t="shared" si="46"/>
        <v>0</v>
      </c>
      <c r="U64">
        <f t="shared" si="50"/>
        <v>5</v>
      </c>
      <c r="V64">
        <f t="shared" si="51"/>
        <v>7.7562500000000005</v>
      </c>
      <c r="W64">
        <f t="shared" si="52"/>
        <v>1473.6874999999998</v>
      </c>
      <c r="Y64" s="236">
        <f t="shared" si="47"/>
        <v>209.83580549308761</v>
      </c>
      <c r="AA64" t="str">
        <f t="shared" si="53"/>
        <v>tko18_Dybstrøelse, lang ædeplads med spalter (kanal, bagskyl eller ringkanal) - Dybstrøelse</v>
      </c>
    </row>
    <row r="65" spans="4:27" x14ac:dyDescent="0.25">
      <c r="D65" s="130"/>
      <c r="F65" s="20"/>
      <c r="H65" s="35"/>
      <c r="I65" s="39"/>
      <c r="J65" s="21"/>
      <c r="K65" s="20"/>
      <c r="O65" s="662" t="s">
        <v>210</v>
      </c>
      <c r="P65" s="663"/>
      <c r="Q65" t="str">
        <f t="shared" si="48"/>
        <v>Dybstrøelse, lang ædeplads med spalter (kanal, bagskyl eller ringkanal)</v>
      </c>
      <c r="R65" t="str">
        <f t="shared" si="49"/>
        <v>gylle</v>
      </c>
      <c r="S65" s="236">
        <f t="shared" si="45"/>
        <v>19.39503483870968</v>
      </c>
      <c r="T65" s="236">
        <f t="shared" si="46"/>
        <v>13.045469861751153</v>
      </c>
      <c r="U65">
        <f t="shared" si="50"/>
        <v>0</v>
      </c>
      <c r="V65">
        <f t="shared" si="51"/>
        <v>0</v>
      </c>
      <c r="W65">
        <f t="shared" si="52"/>
        <v>0</v>
      </c>
      <c r="Y65" s="236">
        <f t="shared" si="47"/>
        <v>139.89053699539173</v>
      </c>
      <c r="AA65" t="str">
        <f t="shared" si="53"/>
        <v>tko18_Dybstrøelse, lang ædeplads med spalter (kanal, bagskyl eller ringkanal) - gylle</v>
      </c>
    </row>
    <row r="66" spans="4:27" x14ac:dyDescent="0.25">
      <c r="D66" s="130"/>
      <c r="F66" s="20"/>
      <c r="H66" s="35"/>
      <c r="I66" s="39"/>
      <c r="J66" s="21"/>
      <c r="K66" s="20"/>
      <c r="O66" s="662" t="s">
        <v>210</v>
      </c>
      <c r="P66" s="663"/>
      <c r="Q66" t="str">
        <f t="shared" si="48"/>
        <v>Spaltegulvbokse</v>
      </c>
      <c r="R66" t="str">
        <f t="shared" si="49"/>
        <v>gylle</v>
      </c>
      <c r="S66" s="236">
        <f t="shared" si="45"/>
        <v>48.487587096774199</v>
      </c>
      <c r="T66" s="236">
        <f t="shared" si="46"/>
        <v>32.613674654377881</v>
      </c>
      <c r="U66">
        <f t="shared" si="50"/>
        <v>0</v>
      </c>
      <c r="V66">
        <f t="shared" si="51"/>
        <v>0</v>
      </c>
      <c r="W66">
        <f t="shared" si="52"/>
        <v>0</v>
      </c>
      <c r="Y66" s="236">
        <f t="shared" si="47"/>
        <v>349.7263424884793</v>
      </c>
      <c r="AA66" t="str">
        <f t="shared" si="53"/>
        <v>tko18_Spaltegulvbokse - gylle</v>
      </c>
    </row>
    <row r="67" spans="4:27" x14ac:dyDescent="0.25">
      <c r="D67" s="130"/>
      <c r="F67" s="20"/>
      <c r="H67" s="35"/>
      <c r="I67" s="39"/>
      <c r="J67" s="21"/>
      <c r="K67" s="20"/>
      <c r="O67" s="662" t="s">
        <v>210</v>
      </c>
      <c r="P67" s="663"/>
      <c r="S67" s="236"/>
      <c r="T67" s="236"/>
      <c r="Y67" s="236"/>
    </row>
    <row r="68" spans="4:27" x14ac:dyDescent="0.25">
      <c r="D68" s="130"/>
      <c r="F68" s="20"/>
      <c r="H68" s="35"/>
      <c r="I68" s="39"/>
      <c r="J68" s="21"/>
      <c r="K68" s="20"/>
      <c r="O68" s="662" t="s">
        <v>210</v>
      </c>
      <c r="P68" s="663"/>
      <c r="S68" s="236"/>
      <c r="T68" s="236"/>
      <c r="Y68" s="236"/>
    </row>
    <row r="69" spans="4:27" x14ac:dyDescent="0.25">
      <c r="D69" s="130"/>
      <c r="F69" s="20"/>
      <c r="H69" s="35"/>
      <c r="I69" s="39"/>
      <c r="J69" s="21"/>
      <c r="K69" s="20"/>
      <c r="N69" s="134" t="str">
        <f>C30</f>
        <v>Årsopdræt 6 mdr. til kælvning (27 mdr) (kvier og stude), tung race</v>
      </c>
      <c r="O69" s="662"/>
      <c r="P69" s="663"/>
      <c r="Q69" s="12" t="s">
        <v>276</v>
      </c>
      <c r="S69" s="236">
        <f t="shared" ref="S69:S85" si="54">E31*$P$70</f>
        <v>48.487587096774199</v>
      </c>
      <c r="T69" s="236">
        <f t="shared" ref="T69:T85" si="55">F31*$P$70</f>
        <v>32.613674654377881</v>
      </c>
      <c r="Y69" s="236">
        <f t="shared" ref="Y69:Y85" si="56">K31*$P$70</f>
        <v>349.7263424884793</v>
      </c>
    </row>
    <row r="70" spans="4:27" x14ac:dyDescent="0.25">
      <c r="D70" s="130"/>
      <c r="F70" s="20"/>
      <c r="H70" s="35"/>
      <c r="I70" s="39"/>
      <c r="J70" s="21"/>
      <c r="K70" s="20"/>
      <c r="N70" s="195" t="s">
        <v>205</v>
      </c>
      <c r="O70" s="662" t="s">
        <v>264</v>
      </c>
      <c r="P70" s="663">
        <f>(((6+ 24.8) * 0.0729) + 1.93) / 4.34</f>
        <v>0.96205529953917057</v>
      </c>
      <c r="Q70" t="str">
        <f t="shared" ref="Q70:Q85" si="57">C32</f>
        <v>Bindestald med grebning</v>
      </c>
      <c r="R70" t="str">
        <f t="shared" ref="R70:R85" si="58">D32</f>
        <v>fast gødning</v>
      </c>
      <c r="S70" s="236">
        <f t="shared" si="54"/>
        <v>29.092552258064515</v>
      </c>
      <c r="T70" s="236">
        <f t="shared" si="55"/>
        <v>19.56820479262673</v>
      </c>
      <c r="U70">
        <f t="shared" ref="U70:U85" si="59">G32</f>
        <v>0.75</v>
      </c>
      <c r="V70">
        <f t="shared" ref="V70:V85" si="60">H32</f>
        <v>1.1634374999999999</v>
      </c>
      <c r="W70">
        <f t="shared" ref="W70:W85" si="61">I32</f>
        <v>221.05312499999999</v>
      </c>
      <c r="Y70" s="236">
        <f t="shared" si="56"/>
        <v>209.83580549308761</v>
      </c>
      <c r="AA70" t="str">
        <f>$O$70&amp;"_"&amp;Q70&amp;" - "&amp;R70</f>
        <v>tts_Bindestald med grebning - fast gødning</v>
      </c>
    </row>
    <row r="71" spans="4:27" x14ac:dyDescent="0.25">
      <c r="D71" s="130"/>
      <c r="F71" s="20"/>
      <c r="H71" s="35"/>
      <c r="I71" s="39"/>
      <c r="J71" s="21"/>
      <c r="K71" s="20"/>
      <c r="N71" s="195" t="s">
        <v>208</v>
      </c>
      <c r="O71" s="664" t="s">
        <v>355</v>
      </c>
      <c r="P71" s="663"/>
      <c r="Q71" t="str">
        <f t="shared" si="57"/>
        <v>Bindestald med grebning</v>
      </c>
      <c r="R71" t="str">
        <f t="shared" si="58"/>
        <v>ajle</v>
      </c>
      <c r="S71" s="236">
        <f t="shared" si="54"/>
        <v>19.39503483870968</v>
      </c>
      <c r="T71" s="236">
        <f t="shared" si="55"/>
        <v>13.045469861751153</v>
      </c>
      <c r="U71">
        <f t="shared" si="59"/>
        <v>0</v>
      </c>
      <c r="V71">
        <f t="shared" si="60"/>
        <v>0</v>
      </c>
      <c r="W71">
        <f t="shared" si="61"/>
        <v>0</v>
      </c>
      <c r="Y71" s="236">
        <f t="shared" si="56"/>
        <v>139.89053699539173</v>
      </c>
      <c r="AA71" t="str">
        <f t="shared" ref="AA71:AA85" si="62">$O$70&amp;"_"&amp;Q71&amp;" - "&amp;R71</f>
        <v>tts_Bindestald med grebning - ajle</v>
      </c>
    </row>
    <row r="72" spans="4:27" x14ac:dyDescent="0.25">
      <c r="D72" s="130"/>
      <c r="F72" s="20"/>
      <c r="H72" s="35"/>
      <c r="I72" s="39"/>
      <c r="J72" s="21"/>
      <c r="K72" s="20"/>
      <c r="N72" s="195" t="s">
        <v>210</v>
      </c>
      <c r="O72" s="662"/>
      <c r="P72" s="663"/>
      <c r="Q72" t="str">
        <f t="shared" si="57"/>
        <v>Bindestald med riste</v>
      </c>
      <c r="R72" t="str">
        <f t="shared" si="58"/>
        <v>gylle</v>
      </c>
      <c r="S72" s="236">
        <f t="shared" si="54"/>
        <v>48.487587096774199</v>
      </c>
      <c r="T72" s="236">
        <f t="shared" si="55"/>
        <v>32.613674654377881</v>
      </c>
      <c r="U72">
        <f t="shared" si="59"/>
        <v>0.75</v>
      </c>
      <c r="V72">
        <f t="shared" si="60"/>
        <v>1.1634374999999999</v>
      </c>
      <c r="W72">
        <f t="shared" si="61"/>
        <v>221.05312499999999</v>
      </c>
      <c r="Y72" s="236">
        <f t="shared" si="56"/>
        <v>349.7263424884793</v>
      </c>
      <c r="AA72" t="str">
        <f t="shared" si="62"/>
        <v>tts_Bindestald med riste - gylle</v>
      </c>
    </row>
    <row r="73" spans="4:27" x14ac:dyDescent="0.25">
      <c r="D73" s="130"/>
      <c r="F73" s="20"/>
      <c r="H73" s="35"/>
      <c r="I73" s="39"/>
      <c r="J73" s="21"/>
      <c r="K73" s="20"/>
      <c r="O73" s="662"/>
      <c r="P73" s="663"/>
      <c r="Q73" t="str">
        <f t="shared" si="57"/>
        <v>Sengestald med fast gulv</v>
      </c>
      <c r="R73" t="str">
        <f t="shared" si="58"/>
        <v>gylle</v>
      </c>
      <c r="S73" s="236">
        <f t="shared" si="54"/>
        <v>48.487587096774199</v>
      </c>
      <c r="T73" s="236">
        <f t="shared" si="55"/>
        <v>32.613674654377881</v>
      </c>
      <c r="U73">
        <f t="shared" si="59"/>
        <v>0.3</v>
      </c>
      <c r="V73">
        <f t="shared" si="60"/>
        <v>0.46537500000000004</v>
      </c>
      <c r="W73">
        <f t="shared" si="61"/>
        <v>88.421250000000001</v>
      </c>
      <c r="Y73" s="236">
        <f t="shared" si="56"/>
        <v>349.7263424884793</v>
      </c>
      <c r="AA73" t="str">
        <f t="shared" si="62"/>
        <v>tts_Sengestald med fast gulv - gylle</v>
      </c>
    </row>
    <row r="74" spans="4:27" x14ac:dyDescent="0.25">
      <c r="D74" s="130"/>
      <c r="F74" s="20"/>
      <c r="H74" s="35"/>
      <c r="I74" s="39"/>
      <c r="J74" s="21"/>
      <c r="K74" s="20"/>
      <c r="O74" s="662"/>
      <c r="P74" s="663"/>
      <c r="Q74" t="str">
        <f t="shared" si="57"/>
        <v>Sengestald med spaltegulv (kanal, line- spil)</v>
      </c>
      <c r="R74" t="str">
        <f t="shared" si="58"/>
        <v>gylle</v>
      </c>
      <c r="S74" s="236">
        <f t="shared" si="54"/>
        <v>48.487587096774199</v>
      </c>
      <c r="T74" s="236">
        <f t="shared" si="55"/>
        <v>32.613674654377881</v>
      </c>
      <c r="U74">
        <f t="shared" si="59"/>
        <v>0.3</v>
      </c>
      <c r="V74">
        <f t="shared" si="60"/>
        <v>0.46537500000000004</v>
      </c>
      <c r="W74">
        <f t="shared" si="61"/>
        <v>88.421250000000001</v>
      </c>
      <c r="Y74" s="236">
        <f t="shared" si="56"/>
        <v>349.7263424884793</v>
      </c>
      <c r="AA74" t="str">
        <f t="shared" si="62"/>
        <v>tts_Sengestald med spaltegulv (kanal, line- spil) - gylle</v>
      </c>
    </row>
    <row r="75" spans="4:27" x14ac:dyDescent="0.25">
      <c r="D75" s="130"/>
      <c r="F75" s="20"/>
      <c r="H75" s="35"/>
      <c r="I75" s="39"/>
      <c r="J75" s="21"/>
      <c r="K75" s="20"/>
      <c r="O75" s="662"/>
      <c r="P75" s="663"/>
      <c r="Q75" t="str">
        <f t="shared" si="57"/>
        <v>Sengestald med spaltegulv (kanal, bagskyl eller ringkanal)</v>
      </c>
      <c r="R75" t="str">
        <f t="shared" si="58"/>
        <v>gylle</v>
      </c>
      <c r="S75" s="236">
        <f t="shared" si="54"/>
        <v>48.487587096774199</v>
      </c>
      <c r="T75" s="236">
        <f t="shared" si="55"/>
        <v>32.613674654377881</v>
      </c>
      <c r="U75">
        <f t="shared" si="59"/>
        <v>0.3</v>
      </c>
      <c r="V75">
        <f t="shared" si="60"/>
        <v>0.46537500000000004</v>
      </c>
      <c r="W75">
        <f t="shared" si="61"/>
        <v>88.421250000000001</v>
      </c>
      <c r="Y75" s="236">
        <f t="shared" si="56"/>
        <v>349.7263424884793</v>
      </c>
      <c r="AA75" t="str">
        <f t="shared" si="62"/>
        <v>tts_Sengestald med spaltegulv (kanal, bagskyl eller ringkanal) - gylle</v>
      </c>
    </row>
    <row r="76" spans="4:27" x14ac:dyDescent="0.25">
      <c r="D76" s="130"/>
      <c r="F76" s="20"/>
      <c r="H76" s="35"/>
      <c r="I76" s="39"/>
      <c r="J76" s="21"/>
      <c r="K76" s="20"/>
      <c r="O76" s="662"/>
      <c r="P76" s="663"/>
      <c r="Q76" t="str">
        <f t="shared" si="57"/>
        <v>Sengestald, fast drænet gulv med skraber og ajleafløb *)</v>
      </c>
      <c r="R76" t="str">
        <f t="shared" si="58"/>
        <v>gylle</v>
      </c>
      <c r="S76" s="236">
        <f t="shared" si="54"/>
        <v>48.487587096774199</v>
      </c>
      <c r="T76" s="236">
        <f t="shared" si="55"/>
        <v>32.613674654377881</v>
      </c>
      <c r="U76">
        <f t="shared" si="59"/>
        <v>0.3</v>
      </c>
      <c r="V76">
        <f t="shared" si="60"/>
        <v>0.46537500000000004</v>
      </c>
      <c r="W76">
        <f t="shared" si="61"/>
        <v>88.421250000000001</v>
      </c>
      <c r="Y76" s="236">
        <f t="shared" si="56"/>
        <v>349.7263424884793</v>
      </c>
      <c r="AA76" t="str">
        <f t="shared" si="62"/>
        <v>tts_Sengestald, fast drænet gulv med skraber og ajleafløb *) - gylle</v>
      </c>
    </row>
    <row r="77" spans="4:27" x14ac:dyDescent="0.25">
      <c r="D77" s="130"/>
      <c r="F77" s="20"/>
      <c r="H77" s="35"/>
      <c r="I77" s="39"/>
      <c r="J77" s="21"/>
      <c r="K77" s="20"/>
      <c r="O77" s="662"/>
      <c r="P77" s="663"/>
      <c r="Q77" t="str">
        <f t="shared" si="57"/>
        <v>Dybstrøelse, hele arealet</v>
      </c>
      <c r="R77" t="str">
        <f t="shared" si="58"/>
        <v>dybstrøelse</v>
      </c>
      <c r="S77" s="236">
        <f t="shared" si="54"/>
        <v>48.487587096774199</v>
      </c>
      <c r="T77" s="236">
        <f t="shared" si="55"/>
        <v>0</v>
      </c>
      <c r="U77">
        <f t="shared" si="59"/>
        <v>6</v>
      </c>
      <c r="V77">
        <f t="shared" si="60"/>
        <v>9.3074999999999992</v>
      </c>
      <c r="W77">
        <f t="shared" si="61"/>
        <v>1768.425</v>
      </c>
      <c r="Y77" s="236">
        <f t="shared" si="56"/>
        <v>349.7263424884793</v>
      </c>
      <c r="AA77" t="str">
        <f t="shared" si="62"/>
        <v>tts_Dybstrøelse, hele arealet - dybstrøelse</v>
      </c>
    </row>
    <row r="78" spans="4:27" x14ac:dyDescent="0.25">
      <c r="D78" s="130"/>
      <c r="F78" s="20"/>
      <c r="H78" s="35"/>
      <c r="I78" s="39"/>
      <c r="J78" s="21"/>
      <c r="K78" s="20"/>
      <c r="O78" s="662"/>
      <c r="P78" s="663"/>
      <c r="Q78" t="str">
        <f t="shared" si="57"/>
        <v>Dybstrøelse + kort ædeplads med fast gulv</v>
      </c>
      <c r="R78" t="str">
        <f t="shared" si="58"/>
        <v>dybstrøelse</v>
      </c>
      <c r="S78" s="236">
        <f t="shared" si="54"/>
        <v>48.487587096774199</v>
      </c>
      <c r="T78" s="236">
        <f t="shared" si="55"/>
        <v>0</v>
      </c>
      <c r="U78">
        <f t="shared" si="59"/>
        <v>5</v>
      </c>
      <c r="V78">
        <f t="shared" si="60"/>
        <v>7.7562500000000005</v>
      </c>
      <c r="W78">
        <f t="shared" si="61"/>
        <v>1473.6874999999998</v>
      </c>
      <c r="Y78" s="236">
        <f t="shared" si="56"/>
        <v>349.7263424884793</v>
      </c>
      <c r="AA78" t="str">
        <f t="shared" si="62"/>
        <v>tts_Dybstrøelse + kort ædeplads med fast gulv - dybstrøelse</v>
      </c>
    </row>
    <row r="79" spans="4:27" x14ac:dyDescent="0.25">
      <c r="D79" s="130"/>
      <c r="F79" s="20"/>
      <c r="H79" s="35"/>
      <c r="I79" s="39"/>
      <c r="J79" s="21"/>
      <c r="K79" s="20"/>
      <c r="O79" s="662"/>
      <c r="P79" s="663"/>
      <c r="Q79" t="str">
        <f t="shared" si="57"/>
        <v>Dybstrøelse, lang ædeplads med fast gulv</v>
      </c>
      <c r="R79" t="str">
        <f t="shared" si="58"/>
        <v>Dybstrøelse</v>
      </c>
      <c r="S79" s="236">
        <f t="shared" si="54"/>
        <v>29.092552258064515</v>
      </c>
      <c r="T79" s="236">
        <f t="shared" si="55"/>
        <v>0</v>
      </c>
      <c r="U79">
        <f t="shared" si="59"/>
        <v>5</v>
      </c>
      <c r="V79">
        <f t="shared" si="60"/>
        <v>7.7562500000000005</v>
      </c>
      <c r="W79">
        <f t="shared" si="61"/>
        <v>1473.6874999999998</v>
      </c>
      <c r="Y79" s="236">
        <f t="shared" si="56"/>
        <v>209.83580549308761</v>
      </c>
      <c r="AA79" t="str">
        <f t="shared" si="62"/>
        <v>tts_Dybstrøelse, lang ædeplads med fast gulv - Dybstrøelse</v>
      </c>
    </row>
    <row r="80" spans="4:27" x14ac:dyDescent="0.25">
      <c r="D80" s="130"/>
      <c r="F80" s="20"/>
      <c r="H80" s="35"/>
      <c r="I80" s="39"/>
      <c r="J80" s="21"/>
      <c r="K80" s="20"/>
      <c r="O80" s="662"/>
      <c r="P80" s="663"/>
      <c r="Q80" t="str">
        <f t="shared" si="57"/>
        <v>Dybstrøelse, lang ædeplads med fast gulv</v>
      </c>
      <c r="R80" t="str">
        <f t="shared" si="58"/>
        <v>gylle</v>
      </c>
      <c r="S80" s="236">
        <f t="shared" si="54"/>
        <v>19.39503483870968</v>
      </c>
      <c r="T80" s="236">
        <f t="shared" si="55"/>
        <v>13.045469861751153</v>
      </c>
      <c r="U80">
        <f t="shared" si="59"/>
        <v>0</v>
      </c>
      <c r="V80">
        <f t="shared" si="60"/>
        <v>0</v>
      </c>
      <c r="W80">
        <f t="shared" si="61"/>
        <v>0</v>
      </c>
      <c r="Y80" s="236">
        <f t="shared" si="56"/>
        <v>139.89053699539173</v>
      </c>
      <c r="AA80" t="str">
        <f t="shared" si="62"/>
        <v>tts_Dybstrøelse, lang ædeplads med fast gulv - gylle</v>
      </c>
    </row>
    <row r="81" spans="1:27" x14ac:dyDescent="0.25">
      <c r="D81" s="130"/>
      <c r="F81" s="20"/>
      <c r="H81" s="35"/>
      <c r="I81" s="39"/>
      <c r="J81" s="21"/>
      <c r="K81" s="20"/>
      <c r="O81" s="662"/>
      <c r="P81" s="663"/>
      <c r="Q81" t="str">
        <f t="shared" si="57"/>
        <v>Dybstrøelse, lang ædeplads med spalter (kanal, linespil)</v>
      </c>
      <c r="R81" t="str">
        <f t="shared" si="58"/>
        <v>Dybstrøelse</v>
      </c>
      <c r="S81" s="236">
        <f t="shared" si="54"/>
        <v>29.092552258064515</v>
      </c>
      <c r="T81" s="236">
        <f t="shared" si="55"/>
        <v>0</v>
      </c>
      <c r="U81">
        <f t="shared" si="59"/>
        <v>5</v>
      </c>
      <c r="V81">
        <f t="shared" si="60"/>
        <v>7.7562500000000005</v>
      </c>
      <c r="W81">
        <f t="shared" si="61"/>
        <v>1473.6874999999998</v>
      </c>
      <c r="Y81" s="236">
        <f t="shared" si="56"/>
        <v>209.83580549308761</v>
      </c>
      <c r="AA81" t="str">
        <f t="shared" si="62"/>
        <v>tts_Dybstrøelse, lang ædeplads med spalter (kanal, linespil) - Dybstrøelse</v>
      </c>
    </row>
    <row r="82" spans="1:27" x14ac:dyDescent="0.25">
      <c r="D82" s="130"/>
      <c r="F82" s="20"/>
      <c r="H82" s="35"/>
      <c r="I82" s="39"/>
      <c r="J82" s="21"/>
      <c r="K82" s="20"/>
      <c r="O82" s="662"/>
      <c r="P82" s="663"/>
      <c r="Q82" t="str">
        <f t="shared" si="57"/>
        <v>Dybstrøelse, lang ædeplads med spalter (kanal, linespil)</v>
      </c>
      <c r="R82" t="str">
        <f t="shared" si="58"/>
        <v>gylle</v>
      </c>
      <c r="S82" s="236">
        <f t="shared" si="54"/>
        <v>19.39503483870968</v>
      </c>
      <c r="T82" s="236">
        <f t="shared" si="55"/>
        <v>13.045469861751153</v>
      </c>
      <c r="U82">
        <f t="shared" si="59"/>
        <v>0</v>
      </c>
      <c r="V82">
        <f t="shared" si="60"/>
        <v>0</v>
      </c>
      <c r="W82">
        <f t="shared" si="61"/>
        <v>0</v>
      </c>
      <c r="Y82" s="236">
        <f t="shared" si="56"/>
        <v>139.89053699539173</v>
      </c>
      <c r="AA82" t="str">
        <f t="shared" si="62"/>
        <v>tts_Dybstrøelse, lang ædeplads med spalter (kanal, linespil) - gylle</v>
      </c>
    </row>
    <row r="83" spans="1:27" x14ac:dyDescent="0.25">
      <c r="D83" s="130"/>
      <c r="F83" s="20"/>
      <c r="H83" s="35"/>
      <c r="I83" s="39"/>
      <c r="J83" s="21"/>
      <c r="K83" s="20"/>
      <c r="O83" s="662"/>
      <c r="P83" s="663"/>
      <c r="Q83" t="str">
        <f t="shared" si="57"/>
        <v>Dybstrøelse, lang ædeplads med spalter (kanal, bagskyl eller ringkanal)</v>
      </c>
      <c r="R83" t="str">
        <f t="shared" si="58"/>
        <v>Dybstrøelse</v>
      </c>
      <c r="S83" s="236">
        <f t="shared" si="54"/>
        <v>29.092552258064515</v>
      </c>
      <c r="T83" s="236">
        <f t="shared" si="55"/>
        <v>0</v>
      </c>
      <c r="U83">
        <f t="shared" si="59"/>
        <v>5</v>
      </c>
      <c r="V83">
        <f t="shared" si="60"/>
        <v>7.7562500000000005</v>
      </c>
      <c r="W83">
        <f t="shared" si="61"/>
        <v>1473.6874999999998</v>
      </c>
      <c r="Y83" s="236">
        <f t="shared" si="56"/>
        <v>209.83580549308761</v>
      </c>
      <c r="AA83" t="str">
        <f t="shared" si="62"/>
        <v>tts_Dybstrøelse, lang ædeplads med spalter (kanal, bagskyl eller ringkanal) - Dybstrøelse</v>
      </c>
    </row>
    <row r="84" spans="1:27" x14ac:dyDescent="0.25">
      <c r="D84" s="130"/>
      <c r="F84" s="20"/>
      <c r="H84" s="35"/>
      <c r="I84" s="39"/>
      <c r="J84" s="21"/>
      <c r="K84" s="20"/>
      <c r="O84" s="662"/>
      <c r="P84" s="663"/>
      <c r="Q84" t="str">
        <f t="shared" si="57"/>
        <v>Dybstrøelse, lang ædeplads med spalter (kanal, bagskyl eller ringkanal)</v>
      </c>
      <c r="R84" t="str">
        <f t="shared" si="58"/>
        <v>gylle</v>
      </c>
      <c r="S84" s="236">
        <f t="shared" si="54"/>
        <v>19.39503483870968</v>
      </c>
      <c r="T84" s="236">
        <f t="shared" si="55"/>
        <v>13.045469861751153</v>
      </c>
      <c r="U84">
        <f t="shared" si="59"/>
        <v>0</v>
      </c>
      <c r="V84">
        <f t="shared" si="60"/>
        <v>0</v>
      </c>
      <c r="W84">
        <f t="shared" si="61"/>
        <v>0</v>
      </c>
      <c r="Y84" s="236">
        <f t="shared" si="56"/>
        <v>139.89053699539173</v>
      </c>
      <c r="AA84" t="str">
        <f t="shared" si="62"/>
        <v>tts_Dybstrøelse, lang ædeplads med spalter (kanal, bagskyl eller ringkanal) - gylle</v>
      </c>
    </row>
    <row r="85" spans="1:27" x14ac:dyDescent="0.25">
      <c r="D85" s="130"/>
      <c r="F85" s="20"/>
      <c r="H85" s="35"/>
      <c r="I85" s="39"/>
      <c r="J85" s="21"/>
      <c r="K85" s="20"/>
      <c r="O85" s="662"/>
      <c r="P85" s="663"/>
      <c r="Q85" t="str">
        <f t="shared" si="57"/>
        <v>Spaltegulvbokse</v>
      </c>
      <c r="R85" t="str">
        <f t="shared" si="58"/>
        <v>gylle</v>
      </c>
      <c r="S85" s="236">
        <f t="shared" si="54"/>
        <v>48.487587096774199</v>
      </c>
      <c r="T85" s="236">
        <f t="shared" si="55"/>
        <v>32.613674654377881</v>
      </c>
      <c r="U85">
        <f t="shared" si="59"/>
        <v>0</v>
      </c>
      <c r="V85">
        <f t="shared" si="60"/>
        <v>0</v>
      </c>
      <c r="W85">
        <f t="shared" si="61"/>
        <v>0</v>
      </c>
      <c r="Y85" s="236">
        <f t="shared" si="56"/>
        <v>349.7263424884793</v>
      </c>
      <c r="AA85" t="str">
        <f t="shared" si="62"/>
        <v>tts_Spaltegulvbokse - gylle</v>
      </c>
    </row>
    <row r="86" spans="1:27" x14ac:dyDescent="0.25">
      <c r="D86" s="130"/>
      <c r="F86" s="20"/>
      <c r="H86" s="35"/>
      <c r="I86" s="39"/>
      <c r="J86" s="21"/>
      <c r="K86" s="20"/>
      <c r="O86" s="662"/>
      <c r="P86" s="663"/>
      <c r="S86" s="236"/>
      <c r="T86" s="236"/>
      <c r="Y86" s="236"/>
    </row>
    <row r="87" spans="1:27" x14ac:dyDescent="0.25">
      <c r="A87" s="25"/>
      <c r="B87" s="14"/>
      <c r="C87" s="26" t="s">
        <v>45</v>
      </c>
      <c r="D87" s="14"/>
      <c r="E87" s="27"/>
      <c r="F87" s="28"/>
      <c r="H87" s="35"/>
      <c r="I87" s="39"/>
      <c r="J87" s="21"/>
      <c r="K87" s="18"/>
      <c r="O87" s="662" t="s">
        <v>210</v>
      </c>
      <c r="P87" s="663"/>
      <c r="S87" s="236"/>
      <c r="T87" s="236"/>
      <c r="Y87" s="236"/>
    </row>
    <row r="88" spans="1:27" x14ac:dyDescent="0.25">
      <c r="A88" s="21"/>
      <c r="C88" s="32" t="s">
        <v>53</v>
      </c>
      <c r="D88" s="41">
        <f>8.1/E88</f>
        <v>0.64285714285714279</v>
      </c>
      <c r="E88" s="33">
        <v>12.6</v>
      </c>
      <c r="F88" s="34">
        <f>E88*D88</f>
        <v>8.1</v>
      </c>
      <c r="H88" s="35"/>
      <c r="I88" s="39"/>
      <c r="J88" s="40">
        <v>1.37</v>
      </c>
      <c r="K88" s="37">
        <f>J88*1000*0.08*0.8</f>
        <v>87.68</v>
      </c>
      <c r="M88" t="str">
        <f>C87</f>
        <v xml:space="preserve">1 produceret tyrekalv, 0-6 mdr, tung race </v>
      </c>
      <c r="N88" s="134" t="str">
        <f>C87</f>
        <v xml:space="preserve">1 produceret tyrekalv, 0-6 mdr, tung race </v>
      </c>
      <c r="O88" s="662"/>
      <c r="P88" s="663"/>
      <c r="Q88" s="12" t="s">
        <v>609</v>
      </c>
      <c r="S88" s="236">
        <f t="shared" ref="S88:T90" si="63">E88*$P$89</f>
        <v>1.1296043835616438</v>
      </c>
      <c r="T88" s="236">
        <f t="shared" si="63"/>
        <v>0.72617424657534246</v>
      </c>
      <c r="Y88" s="236">
        <f t="shared" ref="Y88:Y90" si="64">K88*$P$89</f>
        <v>7.8606120913242012</v>
      </c>
    </row>
    <row r="89" spans="1:27" x14ac:dyDescent="0.25">
      <c r="A89" s="21">
        <v>1204</v>
      </c>
      <c r="B89">
        <v>1</v>
      </c>
      <c r="C89" t="s">
        <v>26</v>
      </c>
      <c r="D89" t="s">
        <v>6</v>
      </c>
      <c r="E89" s="132">
        <f>$E$88</f>
        <v>12.6</v>
      </c>
      <c r="F89" s="20"/>
      <c r="G89">
        <v>1.5</v>
      </c>
      <c r="H89" s="35">
        <f>G89*0.85*365*$H$5</f>
        <v>2.3268749999999998</v>
      </c>
      <c r="I89" s="39">
        <f t="shared" ref="I89:I266" si="65">G89*0.85*(1-0.05)*365</f>
        <v>442.10624999999999</v>
      </c>
      <c r="J89" s="21"/>
      <c r="K89" s="20">
        <f>$K$88</f>
        <v>87.68</v>
      </c>
      <c r="M89" t="str">
        <f>C89&amp;" - "&amp;D89</f>
        <v>Dybstrøelse (hele arealet) - Dybstrøelse</v>
      </c>
      <c r="N89" s="195" t="s">
        <v>211</v>
      </c>
      <c r="O89" s="662" t="s">
        <v>583</v>
      </c>
      <c r="P89" s="663">
        <f>(1.825*(64-40)+0.00605*((64)^2-(40)^2))/657</f>
        <v>8.9651141552511415E-2</v>
      </c>
      <c r="Q89" t="str">
        <f>C89</f>
        <v>Dybstrøelse (hele arealet)</v>
      </c>
      <c r="R89" t="str">
        <f>D89</f>
        <v>Dybstrøelse</v>
      </c>
      <c r="S89" s="236">
        <f t="shared" si="63"/>
        <v>1.1296043835616438</v>
      </c>
      <c r="T89" s="236">
        <f t="shared" si="63"/>
        <v>0</v>
      </c>
      <c r="U89">
        <f t="shared" ref="U89" si="66">G89</f>
        <v>1.5</v>
      </c>
      <c r="V89">
        <f t="shared" ref="V89" si="67">H89</f>
        <v>2.3268749999999998</v>
      </c>
      <c r="W89">
        <f t="shared" ref="W89" si="68">I89</f>
        <v>442.10624999999999</v>
      </c>
      <c r="Y89" s="236">
        <f t="shared" si="64"/>
        <v>7.8606120913242012</v>
      </c>
      <c r="AA89" t="str">
        <f>$O$89&amp;"_"&amp;Q89&amp;" - "&amp;R89</f>
        <v>tt01_Dybstrøelse (hele arealet) - Dybstrøelse</v>
      </c>
    </row>
    <row r="90" spans="1:27" x14ac:dyDescent="0.25">
      <c r="A90" s="29">
        <v>1204</v>
      </c>
      <c r="B90" s="22">
        <v>2</v>
      </c>
      <c r="C90" s="22" t="s">
        <v>36</v>
      </c>
      <c r="D90" s="22" t="s">
        <v>6</v>
      </c>
      <c r="E90" s="30">
        <f>$E$88</f>
        <v>12.6</v>
      </c>
      <c r="F90" s="31"/>
      <c r="G90">
        <v>1.5</v>
      </c>
      <c r="H90" s="35">
        <f>G90*0.85*365*$H$5</f>
        <v>2.3268749999999998</v>
      </c>
      <c r="I90" s="39">
        <f t="shared" si="65"/>
        <v>442.10624999999999</v>
      </c>
      <c r="J90" s="21"/>
      <c r="K90" s="31">
        <f>$K$88</f>
        <v>87.68</v>
      </c>
      <c r="M90" t="str">
        <f>C90&amp;" - "&amp;D90</f>
        <v>Dybstrøelse + kort ædeplads med fast gulv - Dybstrøelse</v>
      </c>
      <c r="N90" s="195" t="s">
        <v>266</v>
      </c>
      <c r="O90" s="664" t="s">
        <v>674</v>
      </c>
      <c r="P90" s="663"/>
      <c r="Q90" t="str">
        <f>C90</f>
        <v>Dybstrøelse + kort ædeplads med fast gulv</v>
      </c>
      <c r="R90" t="str">
        <f>D90</f>
        <v>Dybstrøelse</v>
      </c>
      <c r="S90" s="236">
        <f t="shared" si="63"/>
        <v>1.1296043835616438</v>
      </c>
      <c r="T90" s="236">
        <f t="shared" si="63"/>
        <v>0</v>
      </c>
      <c r="U90">
        <f t="shared" ref="U90" si="69">G90</f>
        <v>1.5</v>
      </c>
      <c r="V90">
        <f t="shared" ref="V90" si="70">H90</f>
        <v>2.3268749999999998</v>
      </c>
      <c r="W90">
        <f t="shared" ref="W90" si="71">I90</f>
        <v>442.10624999999999</v>
      </c>
      <c r="Y90" s="236">
        <f t="shared" si="64"/>
        <v>7.8606120913242012</v>
      </c>
      <c r="AA90" t="str">
        <f>$O$89&amp;"_"&amp;Q90&amp;" - "&amp;R90</f>
        <v>tt01_Dybstrøelse + kort ædeplads med fast gulv - Dybstrøelse</v>
      </c>
    </row>
    <row r="91" spans="1:27" x14ac:dyDescent="0.25">
      <c r="A91" s="21"/>
      <c r="B91" s="5"/>
      <c r="C91" s="5"/>
      <c r="D91" s="5"/>
      <c r="E91" s="265"/>
      <c r="F91" s="20"/>
      <c r="H91" s="35"/>
      <c r="I91" s="39"/>
      <c r="J91" s="21"/>
      <c r="K91" s="20"/>
      <c r="N91" s="195" t="s">
        <v>210</v>
      </c>
      <c r="O91" s="664"/>
      <c r="P91" s="663"/>
      <c r="S91" s="236"/>
      <c r="T91" s="236"/>
      <c r="Y91" s="236"/>
    </row>
    <row r="92" spans="1:27" x14ac:dyDescent="0.25">
      <c r="A92" s="21"/>
      <c r="B92" s="5"/>
      <c r="C92" s="5"/>
      <c r="D92" s="5"/>
      <c r="E92" s="265"/>
      <c r="F92" s="20"/>
      <c r="H92" s="35"/>
      <c r="I92" s="39"/>
      <c r="J92" s="21"/>
      <c r="K92" s="20"/>
      <c r="N92" s="134" t="str">
        <f>C87</f>
        <v xml:space="preserve">1 produceret tyrekalv, 0-6 mdr, tung race </v>
      </c>
      <c r="O92" s="662"/>
      <c r="P92" s="663"/>
      <c r="Q92" s="12" t="s">
        <v>610</v>
      </c>
      <c r="S92" s="236">
        <f>E88*$P$93</f>
        <v>12.6</v>
      </c>
      <c r="T92" s="236">
        <f>F88*$P$93</f>
        <v>8.1</v>
      </c>
      <c r="Y92" s="236">
        <f>K88*$P$93</f>
        <v>87.68</v>
      </c>
    </row>
    <row r="93" spans="1:27" x14ac:dyDescent="0.25">
      <c r="A93" s="21"/>
      <c r="B93" s="5"/>
      <c r="C93" s="5"/>
      <c r="D93" s="5"/>
      <c r="E93" s="265"/>
      <c r="F93" s="20"/>
      <c r="H93" s="35"/>
      <c r="I93" s="39"/>
      <c r="J93" s="21"/>
      <c r="K93" s="20"/>
      <c r="O93" s="662" t="s">
        <v>340</v>
      </c>
      <c r="P93" s="663">
        <v>1</v>
      </c>
      <c r="Q93" t="str">
        <f>C89</f>
        <v>Dybstrøelse (hele arealet)</v>
      </c>
      <c r="R93" t="str">
        <f>D89</f>
        <v>Dybstrøelse</v>
      </c>
      <c r="S93" s="236">
        <f t="shared" ref="S93:T93" si="72">E89*$P$93</f>
        <v>12.6</v>
      </c>
      <c r="T93" s="236">
        <f t="shared" si="72"/>
        <v>0</v>
      </c>
      <c r="U93">
        <f>G89</f>
        <v>1.5</v>
      </c>
      <c r="V93">
        <f t="shared" ref="V93:W93" si="73">H89</f>
        <v>2.3268749999999998</v>
      </c>
      <c r="W93">
        <f t="shared" si="73"/>
        <v>442.10624999999999</v>
      </c>
      <c r="Y93" s="236">
        <f t="shared" ref="Y93:Y94" si="74">K89*$P$93</f>
        <v>87.68</v>
      </c>
      <c r="AA93" t="str">
        <f>$O$93&amp;"_"&amp;Q93&amp;" - "&amp;R93</f>
        <v>tt06_Dybstrøelse (hele arealet) - Dybstrøelse</v>
      </c>
    </row>
    <row r="94" spans="1:27" x14ac:dyDescent="0.25">
      <c r="A94" s="21"/>
      <c r="B94" s="5"/>
      <c r="C94" s="5"/>
      <c r="D94" s="5"/>
      <c r="E94" s="265"/>
      <c r="F94" s="20"/>
      <c r="H94" s="35"/>
      <c r="I94" s="39"/>
      <c r="J94" s="21"/>
      <c r="K94" s="20"/>
      <c r="O94" s="664"/>
      <c r="P94" s="663"/>
      <c r="Q94" t="str">
        <f>C90</f>
        <v>Dybstrøelse + kort ædeplads med fast gulv</v>
      </c>
      <c r="R94" t="str">
        <f>D90</f>
        <v>Dybstrøelse</v>
      </c>
      <c r="S94" s="236">
        <f t="shared" ref="S94:T94" si="75">E90*$P$93</f>
        <v>12.6</v>
      </c>
      <c r="T94" s="236">
        <f t="shared" si="75"/>
        <v>0</v>
      </c>
      <c r="U94">
        <f>G90</f>
        <v>1.5</v>
      </c>
      <c r="V94">
        <f t="shared" ref="V94" si="76">H90</f>
        <v>2.3268749999999998</v>
      </c>
      <c r="W94">
        <f t="shared" ref="W94" si="77">I90</f>
        <v>442.10624999999999</v>
      </c>
      <c r="Y94" s="236">
        <f t="shared" si="74"/>
        <v>87.68</v>
      </c>
      <c r="AA94" t="str">
        <f>$O$93&amp;"_"&amp;Q94&amp;" - "&amp;R94</f>
        <v>tt06_Dybstrøelse + kort ædeplads med fast gulv - Dybstrøelse</v>
      </c>
    </row>
    <row r="95" spans="1:27" x14ac:dyDescent="0.25">
      <c r="A95" s="25"/>
      <c r="B95" s="14"/>
      <c r="C95" s="26" t="s">
        <v>47</v>
      </c>
      <c r="D95" s="14"/>
      <c r="E95" s="27"/>
      <c r="F95" s="28"/>
      <c r="H95" s="35"/>
      <c r="I95" s="39"/>
      <c r="J95" s="21"/>
      <c r="K95" s="18"/>
      <c r="O95" s="662" t="s">
        <v>210</v>
      </c>
      <c r="P95" s="663"/>
      <c r="S95" s="236"/>
      <c r="T95" s="236"/>
      <c r="Y95" s="236"/>
    </row>
    <row r="96" spans="1:27" x14ac:dyDescent="0.25">
      <c r="A96" s="21"/>
      <c r="C96" s="32" t="s">
        <v>53</v>
      </c>
      <c r="D96" s="41">
        <f>15.6/E96</f>
        <v>0.66382978723404251</v>
      </c>
      <c r="E96" s="33">
        <v>23.5</v>
      </c>
      <c r="F96" s="34">
        <f>E96*D96</f>
        <v>15.6</v>
      </c>
      <c r="H96" s="35"/>
      <c r="I96" s="39"/>
      <c r="J96" s="40">
        <v>2.72</v>
      </c>
      <c r="K96" s="37">
        <f>J96*1000*0.08*0.8</f>
        <v>174.08</v>
      </c>
      <c r="M96" t="str">
        <f>C95</f>
        <v>Ungtyre, 6 mdr. til slagtning (440 kg), tung race, (1 produceret ungtyr)</v>
      </c>
      <c r="N96" s="134" t="str">
        <f>C95</f>
        <v>Ungtyre, 6 mdr. til slagtning (440 kg), tung race, (1 produceret ungtyr)</v>
      </c>
      <c r="O96" s="662"/>
      <c r="P96" s="663"/>
      <c r="Q96" s="12" t="s">
        <v>287</v>
      </c>
      <c r="S96" s="236">
        <f t="shared" ref="S96:S112" si="78">E96*$P$97</f>
        <v>20.832445299837925</v>
      </c>
      <c r="T96" s="236">
        <f t="shared" ref="T96:T112" si="79">F96*$P$97</f>
        <v>13.829197730956238</v>
      </c>
      <c r="Y96" s="236">
        <f t="shared" ref="Y96:Y112" si="80">K96*$P$97</f>
        <v>154.31966288492706</v>
      </c>
    </row>
    <row r="97" spans="1:27" x14ac:dyDescent="0.25">
      <c r="A97" s="21">
        <v>1205</v>
      </c>
      <c r="B97">
        <v>1</v>
      </c>
      <c r="C97" t="s">
        <v>21</v>
      </c>
      <c r="D97" s="130" t="s">
        <v>32</v>
      </c>
      <c r="E97" s="132">
        <f>$E$96*0.6</f>
        <v>14.1</v>
      </c>
      <c r="F97" s="20">
        <f>$F$96*0.6</f>
        <v>9.36</v>
      </c>
      <c r="G97">
        <v>0.75</v>
      </c>
      <c r="H97" s="35">
        <f>G97*0.85*365*$H$5</f>
        <v>1.1634374999999999</v>
      </c>
      <c r="I97" s="39">
        <f t="shared" si="65"/>
        <v>221.05312499999999</v>
      </c>
      <c r="J97" s="21"/>
      <c r="K97" s="20"/>
      <c r="M97" t="str">
        <f>C97&amp;" - "&amp;D97</f>
        <v>Bindestald med grebning - fast gødning</v>
      </c>
      <c r="N97" s="195" t="s">
        <v>211</v>
      </c>
      <c r="O97" s="662" t="s">
        <v>289</v>
      </c>
      <c r="P97" s="663">
        <f>(1.825*(420-230)+0.00605*((420^2)-(230^2)))/1234</f>
        <v>0.88648703403565632</v>
      </c>
      <c r="Q97" t="str">
        <f>C97</f>
        <v>Bindestald med grebning</v>
      </c>
      <c r="R97" t="str">
        <f>D97</f>
        <v>fast gødning</v>
      </c>
      <c r="S97" s="236">
        <f t="shared" si="78"/>
        <v>12.499467179902753</v>
      </c>
      <c r="T97" s="236">
        <f t="shared" si="79"/>
        <v>8.2975186385737434</v>
      </c>
      <c r="U97">
        <f t="shared" ref="U97" si="81">G97</f>
        <v>0.75</v>
      </c>
      <c r="V97">
        <f t="shared" ref="V97" si="82">H97</f>
        <v>1.1634374999999999</v>
      </c>
      <c r="W97">
        <f t="shared" ref="W97" si="83">I97</f>
        <v>221.05312499999999</v>
      </c>
      <c r="Y97" s="236">
        <f t="shared" si="80"/>
        <v>0</v>
      </c>
      <c r="AA97" t="str">
        <f>$O$97&amp;"_"&amp;Q97&amp;" - "&amp;R97</f>
        <v>ttu12_Bindestald med grebning - fast gødning</v>
      </c>
    </row>
    <row r="98" spans="1:27" x14ac:dyDescent="0.25">
      <c r="A98" s="21">
        <v>1205</v>
      </c>
      <c r="B98">
        <v>1</v>
      </c>
      <c r="C98" t="s">
        <v>21</v>
      </c>
      <c r="D98" s="130" t="s">
        <v>33</v>
      </c>
      <c r="E98" s="132">
        <f>$E$96*0.4</f>
        <v>9.4</v>
      </c>
      <c r="F98" s="20">
        <f>$F$96*0.4</f>
        <v>6.24</v>
      </c>
      <c r="H98" s="35"/>
      <c r="I98" s="39">
        <f t="shared" si="65"/>
        <v>0</v>
      </c>
      <c r="J98" s="21"/>
      <c r="K98" s="20"/>
      <c r="M98" t="str">
        <f t="shared" ref="M98:M112" si="84">C98&amp;" - "&amp;D98</f>
        <v>Bindestald med grebning - ajle</v>
      </c>
      <c r="N98" s="195" t="s">
        <v>212</v>
      </c>
      <c r="O98" s="664" t="s">
        <v>341</v>
      </c>
      <c r="P98" s="663"/>
      <c r="Q98" t="str">
        <f t="shared" ref="Q98:R112" si="85">C98</f>
        <v>Bindestald med grebning</v>
      </c>
      <c r="R98" t="str">
        <f t="shared" si="85"/>
        <v>ajle</v>
      </c>
      <c r="S98" s="236">
        <f t="shared" si="78"/>
        <v>8.33297811993517</v>
      </c>
      <c r="T98" s="236">
        <f t="shared" si="79"/>
        <v>5.5316790923824959</v>
      </c>
      <c r="U98">
        <f t="shared" ref="U98:U112" si="86">G98</f>
        <v>0</v>
      </c>
      <c r="V98">
        <f t="shared" ref="V98:V112" si="87">H98</f>
        <v>0</v>
      </c>
      <c r="W98">
        <f t="shared" ref="W98:W112" si="88">I98</f>
        <v>0</v>
      </c>
      <c r="Y98" s="236">
        <f t="shared" si="80"/>
        <v>0</v>
      </c>
      <c r="AA98" t="str">
        <f t="shared" ref="AA98:AA112" si="89">$O$97&amp;"_"&amp;Q98&amp;" - "&amp;R98</f>
        <v>ttu12_Bindestald med grebning - ajle</v>
      </c>
    </row>
    <row r="99" spans="1:27" x14ac:dyDescent="0.25">
      <c r="A99" s="21">
        <v>1205</v>
      </c>
      <c r="B99">
        <v>2</v>
      </c>
      <c r="C99" t="s">
        <v>22</v>
      </c>
      <c r="D99" t="s">
        <v>23</v>
      </c>
      <c r="E99" s="132">
        <f>$E$96</f>
        <v>23.5</v>
      </c>
      <c r="F99" s="20">
        <f>$F$96</f>
        <v>15.6</v>
      </c>
      <c r="G99">
        <v>0.75</v>
      </c>
      <c r="H99" s="35">
        <f t="shared" ref="H99:H106" si="90">G99*0.85*365*$H$5</f>
        <v>1.1634374999999999</v>
      </c>
      <c r="I99" s="39">
        <f t="shared" si="65"/>
        <v>221.05312499999999</v>
      </c>
      <c r="J99" s="21"/>
      <c r="K99" s="20">
        <f>$K$96</f>
        <v>174.08</v>
      </c>
      <c r="M99" t="str">
        <f t="shared" si="84"/>
        <v>Bindestald med riste - gylle</v>
      </c>
      <c r="N99" s="195" t="s">
        <v>210</v>
      </c>
      <c r="O99" s="662"/>
      <c r="P99" s="663"/>
      <c r="Q99" t="str">
        <f t="shared" si="85"/>
        <v>Bindestald med riste</v>
      </c>
      <c r="R99" t="str">
        <f t="shared" si="85"/>
        <v>gylle</v>
      </c>
      <c r="S99" s="236">
        <f t="shared" si="78"/>
        <v>20.832445299837925</v>
      </c>
      <c r="T99" s="236">
        <f t="shared" si="79"/>
        <v>13.829197730956238</v>
      </c>
      <c r="U99">
        <f t="shared" si="86"/>
        <v>0.75</v>
      </c>
      <c r="V99">
        <f t="shared" si="87"/>
        <v>1.1634374999999999</v>
      </c>
      <c r="W99">
        <f t="shared" si="88"/>
        <v>221.05312499999999</v>
      </c>
      <c r="Y99" s="236">
        <f t="shared" si="80"/>
        <v>154.31966288492706</v>
      </c>
      <c r="AA99" t="str">
        <f t="shared" si="89"/>
        <v>ttu12_Bindestald med riste - gylle</v>
      </c>
    </row>
    <row r="100" spans="1:27" x14ac:dyDescent="0.25">
      <c r="A100" s="21">
        <v>1205</v>
      </c>
      <c r="B100">
        <v>10</v>
      </c>
      <c r="C100" t="s">
        <v>7</v>
      </c>
      <c r="D100" t="s">
        <v>23</v>
      </c>
      <c r="E100" s="132">
        <f t="shared" ref="E100:E112" si="91">$E$96</f>
        <v>23.5</v>
      </c>
      <c r="F100" s="20">
        <f t="shared" ref="F100:F112" si="92">$F$96</f>
        <v>15.6</v>
      </c>
      <c r="G100">
        <v>0.3</v>
      </c>
      <c r="H100" s="35">
        <f t="shared" si="90"/>
        <v>0.46537500000000004</v>
      </c>
      <c r="I100" s="39">
        <f t="shared" si="65"/>
        <v>88.421250000000001</v>
      </c>
      <c r="J100" s="21"/>
      <c r="K100" s="20">
        <f t="shared" ref="K100:K105" si="93">$K$96</f>
        <v>174.08</v>
      </c>
      <c r="M100" t="str">
        <f t="shared" si="84"/>
        <v>Sengestald med fast gulv - gylle</v>
      </c>
      <c r="N100" s="195" t="s">
        <v>210</v>
      </c>
      <c r="O100" s="662"/>
      <c r="P100" s="663"/>
      <c r="Q100" t="str">
        <f t="shared" si="85"/>
        <v>Sengestald med fast gulv</v>
      </c>
      <c r="R100" t="str">
        <f t="shared" si="85"/>
        <v>gylle</v>
      </c>
      <c r="S100" s="236">
        <f t="shared" si="78"/>
        <v>20.832445299837925</v>
      </c>
      <c r="T100" s="236">
        <f t="shared" si="79"/>
        <v>13.829197730956238</v>
      </c>
      <c r="U100">
        <f t="shared" si="86"/>
        <v>0.3</v>
      </c>
      <c r="V100">
        <f t="shared" si="87"/>
        <v>0.46537500000000004</v>
      </c>
      <c r="W100">
        <f t="shared" si="88"/>
        <v>88.421250000000001</v>
      </c>
      <c r="Y100" s="236">
        <f t="shared" si="80"/>
        <v>154.31966288492706</v>
      </c>
      <c r="AA100" t="str">
        <f t="shared" si="89"/>
        <v>ttu12_Sengestald med fast gulv - gylle</v>
      </c>
    </row>
    <row r="101" spans="1:27" x14ac:dyDescent="0.25">
      <c r="A101" s="21">
        <v>1205</v>
      </c>
      <c r="B101">
        <v>11</v>
      </c>
      <c r="C101" t="s">
        <v>38</v>
      </c>
      <c r="D101" t="s">
        <v>23</v>
      </c>
      <c r="E101" s="132">
        <f t="shared" si="91"/>
        <v>23.5</v>
      </c>
      <c r="F101" s="20">
        <f t="shared" si="92"/>
        <v>15.6</v>
      </c>
      <c r="G101">
        <v>0.3</v>
      </c>
      <c r="H101" s="35">
        <f t="shared" si="90"/>
        <v>0.46537500000000004</v>
      </c>
      <c r="I101" s="39">
        <f t="shared" si="65"/>
        <v>88.421250000000001</v>
      </c>
      <c r="J101" s="21"/>
      <c r="K101" s="20">
        <f t="shared" si="93"/>
        <v>174.08</v>
      </c>
      <c r="M101" t="str">
        <f t="shared" si="84"/>
        <v>Sengestald med spaltegulv (kanal, line- spil) - gylle</v>
      </c>
      <c r="N101" s="195" t="s">
        <v>210</v>
      </c>
      <c r="O101" s="662" t="s">
        <v>210</v>
      </c>
      <c r="P101" s="663"/>
      <c r="Q101" t="str">
        <f t="shared" si="85"/>
        <v>Sengestald med spaltegulv (kanal, line- spil)</v>
      </c>
      <c r="R101" t="str">
        <f t="shared" si="85"/>
        <v>gylle</v>
      </c>
      <c r="S101" s="236">
        <f t="shared" si="78"/>
        <v>20.832445299837925</v>
      </c>
      <c r="T101" s="236">
        <f t="shared" si="79"/>
        <v>13.829197730956238</v>
      </c>
      <c r="U101">
        <f t="shared" si="86"/>
        <v>0.3</v>
      </c>
      <c r="V101">
        <f t="shared" si="87"/>
        <v>0.46537500000000004</v>
      </c>
      <c r="W101">
        <f t="shared" si="88"/>
        <v>88.421250000000001</v>
      </c>
      <c r="Y101" s="236">
        <f t="shared" si="80"/>
        <v>154.31966288492706</v>
      </c>
      <c r="AA101" t="str">
        <f t="shared" si="89"/>
        <v>ttu12_Sengestald med spaltegulv (kanal, line- spil) - gylle</v>
      </c>
    </row>
    <row r="102" spans="1:27" x14ac:dyDescent="0.25">
      <c r="A102" s="21">
        <v>1205</v>
      </c>
      <c r="B102">
        <v>12</v>
      </c>
      <c r="C102" t="s">
        <v>39</v>
      </c>
      <c r="D102" t="s">
        <v>23</v>
      </c>
      <c r="E102" s="132">
        <f t="shared" si="91"/>
        <v>23.5</v>
      </c>
      <c r="F102" s="20">
        <f t="shared" si="92"/>
        <v>15.6</v>
      </c>
      <c r="G102">
        <v>0.3</v>
      </c>
      <c r="H102" s="35">
        <f t="shared" si="90"/>
        <v>0.46537500000000004</v>
      </c>
      <c r="I102" s="39">
        <f t="shared" si="65"/>
        <v>88.421250000000001</v>
      </c>
      <c r="J102" s="21"/>
      <c r="K102" s="20">
        <f t="shared" si="93"/>
        <v>174.08</v>
      </c>
      <c r="M102" t="str">
        <f t="shared" si="84"/>
        <v>Sengestald med spaltegulv (kanal, bagskyl eller ringkanal) - gylle</v>
      </c>
      <c r="N102" s="195" t="s">
        <v>210</v>
      </c>
      <c r="O102" s="662" t="s">
        <v>210</v>
      </c>
      <c r="P102" s="663"/>
      <c r="Q102" t="str">
        <f t="shared" si="85"/>
        <v>Sengestald med spaltegulv (kanal, bagskyl eller ringkanal)</v>
      </c>
      <c r="R102" t="str">
        <f t="shared" si="85"/>
        <v>gylle</v>
      </c>
      <c r="S102" s="236">
        <f t="shared" si="78"/>
        <v>20.832445299837925</v>
      </c>
      <c r="T102" s="236">
        <f t="shared" si="79"/>
        <v>13.829197730956238</v>
      </c>
      <c r="U102">
        <f t="shared" si="86"/>
        <v>0.3</v>
      </c>
      <c r="V102">
        <f t="shared" si="87"/>
        <v>0.46537500000000004</v>
      </c>
      <c r="W102">
        <f t="shared" si="88"/>
        <v>88.421250000000001</v>
      </c>
      <c r="Y102" s="236">
        <f t="shared" si="80"/>
        <v>154.31966288492706</v>
      </c>
      <c r="AA102" t="str">
        <f t="shared" si="89"/>
        <v>ttu12_Sengestald med spaltegulv (kanal, bagskyl eller ringkanal) - gylle</v>
      </c>
    </row>
    <row r="103" spans="1:27" x14ac:dyDescent="0.25">
      <c r="A103" s="21">
        <v>1205</v>
      </c>
      <c r="B103">
        <v>19</v>
      </c>
      <c r="C103" t="s">
        <v>42</v>
      </c>
      <c r="D103" t="s">
        <v>23</v>
      </c>
      <c r="E103" s="132">
        <f t="shared" si="91"/>
        <v>23.5</v>
      </c>
      <c r="F103" s="20">
        <f t="shared" si="92"/>
        <v>15.6</v>
      </c>
      <c r="G103">
        <v>0.3</v>
      </c>
      <c r="H103" s="35">
        <f t="shared" si="90"/>
        <v>0.46537500000000004</v>
      </c>
      <c r="I103" s="39">
        <f t="shared" si="65"/>
        <v>88.421250000000001</v>
      </c>
      <c r="J103" s="21"/>
      <c r="K103" s="20">
        <f t="shared" si="93"/>
        <v>174.08</v>
      </c>
      <c r="M103" t="str">
        <f t="shared" si="84"/>
        <v>Sengestald, fast drænet gulv med skra- ber og ajleafløb *) - gylle</v>
      </c>
      <c r="N103" s="195" t="s">
        <v>210</v>
      </c>
      <c r="O103" s="662" t="s">
        <v>210</v>
      </c>
      <c r="P103" s="663"/>
      <c r="Q103" t="str">
        <f t="shared" si="85"/>
        <v>Sengestald, fast drænet gulv med skra- ber og ajleafløb *)</v>
      </c>
      <c r="R103" t="str">
        <f t="shared" si="85"/>
        <v>gylle</v>
      </c>
      <c r="S103" s="236">
        <f t="shared" si="78"/>
        <v>20.832445299837925</v>
      </c>
      <c r="T103" s="236">
        <f t="shared" si="79"/>
        <v>13.829197730956238</v>
      </c>
      <c r="U103">
        <f t="shared" si="86"/>
        <v>0.3</v>
      </c>
      <c r="V103">
        <f t="shared" si="87"/>
        <v>0.46537500000000004</v>
      </c>
      <c r="W103">
        <f t="shared" si="88"/>
        <v>88.421250000000001</v>
      </c>
      <c r="Y103" s="236">
        <f t="shared" si="80"/>
        <v>154.31966288492706</v>
      </c>
      <c r="AA103" t="str">
        <f t="shared" si="89"/>
        <v>ttu12_Sengestald, fast drænet gulv med skra- ber og ajleafløb *) - gylle</v>
      </c>
    </row>
    <row r="104" spans="1:27" x14ac:dyDescent="0.25">
      <c r="A104" s="21">
        <v>1205</v>
      </c>
      <c r="B104">
        <v>3</v>
      </c>
      <c r="C104" t="s">
        <v>40</v>
      </c>
      <c r="D104" t="s">
        <v>27</v>
      </c>
      <c r="E104" s="132">
        <f t="shared" si="91"/>
        <v>23.5</v>
      </c>
      <c r="F104" s="20"/>
      <c r="G104">
        <v>3.8</v>
      </c>
      <c r="H104" s="35">
        <f t="shared" si="90"/>
        <v>5.8947500000000002</v>
      </c>
      <c r="I104" s="39">
        <f t="shared" si="65"/>
        <v>1120.0024999999998</v>
      </c>
      <c r="J104" s="21"/>
      <c r="K104" s="20">
        <f t="shared" si="93"/>
        <v>174.08</v>
      </c>
      <c r="M104" t="str">
        <f t="shared" si="84"/>
        <v>Dybstrøelse, hele arealet - dybstrøelse</v>
      </c>
      <c r="N104" s="195" t="s">
        <v>210</v>
      </c>
      <c r="O104" s="662" t="s">
        <v>210</v>
      </c>
      <c r="P104" s="663"/>
      <c r="Q104" t="str">
        <f t="shared" si="85"/>
        <v>Dybstrøelse, hele arealet</v>
      </c>
      <c r="R104" t="str">
        <f t="shared" si="85"/>
        <v>dybstrøelse</v>
      </c>
      <c r="S104" s="236">
        <f t="shared" si="78"/>
        <v>20.832445299837925</v>
      </c>
      <c r="T104" s="236">
        <f t="shared" si="79"/>
        <v>0</v>
      </c>
      <c r="U104">
        <f t="shared" si="86"/>
        <v>3.8</v>
      </c>
      <c r="V104">
        <f t="shared" si="87"/>
        <v>5.8947500000000002</v>
      </c>
      <c r="W104">
        <f t="shared" si="88"/>
        <v>1120.0024999999998</v>
      </c>
      <c r="Y104" s="236">
        <f t="shared" si="80"/>
        <v>154.31966288492706</v>
      </c>
      <c r="AA104" t="str">
        <f t="shared" si="89"/>
        <v>ttu12_Dybstrøelse, hele arealet - dybstrøelse</v>
      </c>
    </row>
    <row r="105" spans="1:27" x14ac:dyDescent="0.25">
      <c r="A105" s="21">
        <v>1205</v>
      </c>
      <c r="B105">
        <v>4</v>
      </c>
      <c r="C105" t="s">
        <v>36</v>
      </c>
      <c r="D105" s="130" t="s">
        <v>27</v>
      </c>
      <c r="E105" s="132">
        <f t="shared" si="91"/>
        <v>23.5</v>
      </c>
      <c r="F105" s="20"/>
      <c r="G105">
        <v>3.2</v>
      </c>
      <c r="H105" s="35">
        <f t="shared" si="90"/>
        <v>4.9640000000000004</v>
      </c>
      <c r="I105" s="39">
        <f t="shared" si="65"/>
        <v>943.16000000000008</v>
      </c>
      <c r="J105" s="21"/>
      <c r="K105" s="20">
        <f t="shared" si="93"/>
        <v>174.08</v>
      </c>
      <c r="M105" t="str">
        <f t="shared" si="84"/>
        <v>Dybstrøelse + kort ædeplads med fast gulv - dybstrøelse</v>
      </c>
      <c r="N105" s="195" t="s">
        <v>210</v>
      </c>
      <c r="O105" s="662" t="s">
        <v>210</v>
      </c>
      <c r="P105" s="663"/>
      <c r="Q105" t="str">
        <f t="shared" si="85"/>
        <v>Dybstrøelse + kort ædeplads med fast gulv</v>
      </c>
      <c r="R105" t="str">
        <f t="shared" si="85"/>
        <v>dybstrøelse</v>
      </c>
      <c r="S105" s="236">
        <f t="shared" si="78"/>
        <v>20.832445299837925</v>
      </c>
      <c r="T105" s="236">
        <f t="shared" si="79"/>
        <v>0</v>
      </c>
      <c r="U105">
        <f t="shared" si="86"/>
        <v>3.2</v>
      </c>
      <c r="V105">
        <f t="shared" si="87"/>
        <v>4.9640000000000004</v>
      </c>
      <c r="W105">
        <f t="shared" si="88"/>
        <v>943.16000000000008</v>
      </c>
      <c r="Y105" s="236">
        <f t="shared" si="80"/>
        <v>154.31966288492706</v>
      </c>
      <c r="AA105" t="str">
        <f t="shared" si="89"/>
        <v>ttu12_Dybstrøelse + kort ædeplads med fast gulv - dybstrøelse</v>
      </c>
    </row>
    <row r="106" spans="1:27" x14ac:dyDescent="0.25">
      <c r="A106" s="21">
        <v>1205</v>
      </c>
      <c r="B106">
        <v>5</v>
      </c>
      <c r="C106" t="s">
        <v>28</v>
      </c>
      <c r="D106" s="130" t="s">
        <v>27</v>
      </c>
      <c r="E106" s="132">
        <f>$E$96*0.6</f>
        <v>14.1</v>
      </c>
      <c r="F106" s="20"/>
      <c r="G106">
        <v>3.1</v>
      </c>
      <c r="H106" s="35">
        <f t="shared" si="90"/>
        <v>4.8088749999999996</v>
      </c>
      <c r="I106" s="39">
        <f t="shared" si="65"/>
        <v>913.68624999999986</v>
      </c>
      <c r="J106" s="21"/>
      <c r="K106" s="20">
        <f>$K$96*0.6</f>
        <v>104.44800000000001</v>
      </c>
      <c r="M106" t="str">
        <f t="shared" si="84"/>
        <v>Dybstrøelse, lang ædeplads med fast gulv - dybstrøelse</v>
      </c>
      <c r="N106" s="195" t="s">
        <v>210</v>
      </c>
      <c r="O106" s="662" t="s">
        <v>210</v>
      </c>
      <c r="P106" s="663"/>
      <c r="Q106" t="str">
        <f t="shared" si="85"/>
        <v>Dybstrøelse, lang ædeplads med fast gulv</v>
      </c>
      <c r="R106" t="str">
        <f t="shared" si="85"/>
        <v>dybstrøelse</v>
      </c>
      <c r="S106" s="236">
        <f t="shared" si="78"/>
        <v>12.499467179902753</v>
      </c>
      <c r="T106" s="236">
        <f t="shared" si="79"/>
        <v>0</v>
      </c>
      <c r="U106">
        <f t="shared" si="86"/>
        <v>3.1</v>
      </c>
      <c r="V106">
        <f t="shared" si="87"/>
        <v>4.8088749999999996</v>
      </c>
      <c r="W106">
        <f t="shared" si="88"/>
        <v>913.68624999999986</v>
      </c>
      <c r="Y106" s="236">
        <f t="shared" si="80"/>
        <v>92.591797730956245</v>
      </c>
      <c r="AA106" t="str">
        <f t="shared" si="89"/>
        <v>ttu12_Dybstrøelse, lang ædeplads med fast gulv - dybstrøelse</v>
      </c>
    </row>
    <row r="107" spans="1:27" x14ac:dyDescent="0.25">
      <c r="A107" s="21">
        <v>1205</v>
      </c>
      <c r="B107">
        <v>5</v>
      </c>
      <c r="C107" t="s">
        <v>28</v>
      </c>
      <c r="D107" s="130" t="s">
        <v>23</v>
      </c>
      <c r="E107" s="132">
        <f>$E$96*0.4</f>
        <v>9.4</v>
      </c>
      <c r="F107" s="20">
        <f>$F$96*0.4</f>
        <v>6.24</v>
      </c>
      <c r="H107" s="35"/>
      <c r="I107" s="39">
        <f t="shared" si="65"/>
        <v>0</v>
      </c>
      <c r="J107" s="21"/>
      <c r="K107" s="20">
        <f>$K$96*0.4</f>
        <v>69.632000000000005</v>
      </c>
      <c r="M107" t="str">
        <f t="shared" si="84"/>
        <v>Dybstrøelse, lang ædeplads med fast gulv - gylle</v>
      </c>
      <c r="N107" s="195" t="s">
        <v>210</v>
      </c>
      <c r="O107" s="662" t="s">
        <v>210</v>
      </c>
      <c r="P107" s="663"/>
      <c r="Q107" t="str">
        <f t="shared" si="85"/>
        <v>Dybstrøelse, lang ædeplads med fast gulv</v>
      </c>
      <c r="R107" t="str">
        <f t="shared" si="85"/>
        <v>gylle</v>
      </c>
      <c r="S107" s="236">
        <f t="shared" si="78"/>
        <v>8.33297811993517</v>
      </c>
      <c r="T107" s="236">
        <f t="shared" si="79"/>
        <v>5.5316790923824959</v>
      </c>
      <c r="U107">
        <f t="shared" si="86"/>
        <v>0</v>
      </c>
      <c r="V107">
        <f t="shared" si="87"/>
        <v>0</v>
      </c>
      <c r="W107">
        <f t="shared" si="88"/>
        <v>0</v>
      </c>
      <c r="Y107" s="236">
        <f t="shared" si="80"/>
        <v>61.727865153970825</v>
      </c>
      <c r="AA107" t="str">
        <f t="shared" si="89"/>
        <v>ttu12_Dybstrøelse, lang ædeplads med fast gulv - gylle</v>
      </c>
    </row>
    <row r="108" spans="1:27" x14ac:dyDescent="0.25">
      <c r="A108" s="21">
        <v>1205</v>
      </c>
      <c r="B108">
        <v>6</v>
      </c>
      <c r="C108" t="s">
        <v>29</v>
      </c>
      <c r="D108" s="130" t="s">
        <v>27</v>
      </c>
      <c r="E108" s="132">
        <f>$E$96*0.6</f>
        <v>14.1</v>
      </c>
      <c r="F108" s="20"/>
      <c r="G108">
        <v>3.1</v>
      </c>
      <c r="H108" s="35">
        <f>G108*0.85*365*$H$5</f>
        <v>4.8088749999999996</v>
      </c>
      <c r="I108" s="39">
        <f t="shared" si="65"/>
        <v>913.68624999999986</v>
      </c>
      <c r="J108" s="21"/>
      <c r="K108" s="20">
        <f>$K$96*0.6</f>
        <v>104.44800000000001</v>
      </c>
      <c r="M108" t="str">
        <f t="shared" si="84"/>
        <v>Dybstrøelse, lang ædeplads med spalter (kanal, linespil) - dybstrøelse</v>
      </c>
      <c r="N108" s="195" t="s">
        <v>210</v>
      </c>
      <c r="O108" s="662" t="s">
        <v>210</v>
      </c>
      <c r="P108" s="663"/>
      <c r="Q108" t="str">
        <f t="shared" si="85"/>
        <v>Dybstrøelse, lang ædeplads med spalter (kanal, linespil)</v>
      </c>
      <c r="R108" t="str">
        <f t="shared" si="85"/>
        <v>dybstrøelse</v>
      </c>
      <c r="S108" s="236">
        <f t="shared" si="78"/>
        <v>12.499467179902753</v>
      </c>
      <c r="T108" s="236">
        <f t="shared" si="79"/>
        <v>0</v>
      </c>
      <c r="U108">
        <f t="shared" si="86"/>
        <v>3.1</v>
      </c>
      <c r="V108">
        <f t="shared" si="87"/>
        <v>4.8088749999999996</v>
      </c>
      <c r="W108">
        <f t="shared" si="88"/>
        <v>913.68624999999986</v>
      </c>
      <c r="Y108" s="236">
        <f t="shared" si="80"/>
        <v>92.591797730956245</v>
      </c>
      <c r="AA108" t="str">
        <f t="shared" si="89"/>
        <v>ttu12_Dybstrøelse, lang ædeplads med spalter (kanal, linespil) - dybstrøelse</v>
      </c>
    </row>
    <row r="109" spans="1:27" x14ac:dyDescent="0.25">
      <c r="A109" s="21">
        <v>1205</v>
      </c>
      <c r="B109">
        <v>6</v>
      </c>
      <c r="C109" t="s">
        <v>29</v>
      </c>
      <c r="D109" s="130" t="s">
        <v>23</v>
      </c>
      <c r="E109" s="132">
        <f>$E$96*0.4</f>
        <v>9.4</v>
      </c>
      <c r="F109" s="20">
        <f>$F$96*0.4</f>
        <v>6.24</v>
      </c>
      <c r="H109" s="35"/>
      <c r="I109" s="39">
        <f t="shared" si="65"/>
        <v>0</v>
      </c>
      <c r="J109" s="21"/>
      <c r="K109" s="20">
        <f>$K$96*0.4</f>
        <v>69.632000000000005</v>
      </c>
      <c r="M109" t="str">
        <f t="shared" si="84"/>
        <v>Dybstrøelse, lang ædeplads med spalter (kanal, linespil) - gylle</v>
      </c>
      <c r="N109" s="195" t="s">
        <v>210</v>
      </c>
      <c r="O109" s="662" t="s">
        <v>210</v>
      </c>
      <c r="P109" s="663"/>
      <c r="Q109" t="str">
        <f t="shared" si="85"/>
        <v>Dybstrøelse, lang ædeplads med spalter (kanal, linespil)</v>
      </c>
      <c r="R109" t="str">
        <f t="shared" si="85"/>
        <v>gylle</v>
      </c>
      <c r="S109" s="236">
        <f t="shared" si="78"/>
        <v>8.33297811993517</v>
      </c>
      <c r="T109" s="236">
        <f t="shared" si="79"/>
        <v>5.5316790923824959</v>
      </c>
      <c r="U109">
        <f t="shared" si="86"/>
        <v>0</v>
      </c>
      <c r="V109">
        <f t="shared" si="87"/>
        <v>0</v>
      </c>
      <c r="W109">
        <f t="shared" si="88"/>
        <v>0</v>
      </c>
      <c r="Y109" s="236">
        <f t="shared" si="80"/>
        <v>61.727865153970825</v>
      </c>
      <c r="AA109" t="str">
        <f t="shared" si="89"/>
        <v>ttu12_Dybstrøelse, lang ædeplads med spalter (kanal, linespil) - gylle</v>
      </c>
    </row>
    <row r="110" spans="1:27" x14ac:dyDescent="0.25">
      <c r="A110" s="21">
        <v>1205</v>
      </c>
      <c r="B110">
        <v>7</v>
      </c>
      <c r="C110" t="s">
        <v>30</v>
      </c>
      <c r="D110" s="130" t="s">
        <v>27</v>
      </c>
      <c r="E110" s="132">
        <f>$E$96*0.6</f>
        <v>14.1</v>
      </c>
      <c r="F110" s="20"/>
      <c r="G110">
        <v>3.1</v>
      </c>
      <c r="H110" s="35">
        <f>G110*0.85*365*$H$5</f>
        <v>4.8088749999999996</v>
      </c>
      <c r="I110" s="39">
        <f t="shared" si="65"/>
        <v>913.68624999999986</v>
      </c>
      <c r="J110" s="21"/>
      <c r="K110" s="20">
        <f>K96*0.6</f>
        <v>104.44800000000001</v>
      </c>
      <c r="M110" t="str">
        <f t="shared" si="84"/>
        <v>Dybstrøelse, lang ædeplads med spalter (kanal, bagskyl eller ringkanal) - dybstrøelse</v>
      </c>
      <c r="N110" s="195" t="s">
        <v>210</v>
      </c>
      <c r="O110" s="662" t="s">
        <v>210</v>
      </c>
      <c r="P110" s="663"/>
      <c r="Q110" t="str">
        <f t="shared" si="85"/>
        <v>Dybstrøelse, lang ædeplads med spalter (kanal, bagskyl eller ringkanal)</v>
      </c>
      <c r="R110" t="str">
        <f t="shared" si="85"/>
        <v>dybstrøelse</v>
      </c>
      <c r="S110" s="236">
        <f t="shared" si="78"/>
        <v>12.499467179902753</v>
      </c>
      <c r="T110" s="236">
        <f t="shared" si="79"/>
        <v>0</v>
      </c>
      <c r="U110">
        <f t="shared" si="86"/>
        <v>3.1</v>
      </c>
      <c r="V110">
        <f t="shared" si="87"/>
        <v>4.8088749999999996</v>
      </c>
      <c r="W110">
        <f t="shared" si="88"/>
        <v>913.68624999999986</v>
      </c>
      <c r="Y110" s="236">
        <f t="shared" si="80"/>
        <v>92.591797730956245</v>
      </c>
      <c r="AA110" t="str">
        <f t="shared" si="89"/>
        <v>ttu12_Dybstrøelse, lang ædeplads med spalter (kanal, bagskyl eller ringkanal) - dybstrøelse</v>
      </c>
    </row>
    <row r="111" spans="1:27" x14ac:dyDescent="0.25">
      <c r="A111" s="21">
        <v>1205</v>
      </c>
      <c r="B111">
        <v>7</v>
      </c>
      <c r="C111" t="s">
        <v>30</v>
      </c>
      <c r="D111" s="130" t="s">
        <v>23</v>
      </c>
      <c r="E111" s="132">
        <f>$E$96*0.4</f>
        <v>9.4</v>
      </c>
      <c r="F111" s="20">
        <f>$F$96*0.4</f>
        <v>6.24</v>
      </c>
      <c r="H111" s="35"/>
      <c r="I111" s="39">
        <f t="shared" si="65"/>
        <v>0</v>
      </c>
      <c r="J111" s="21"/>
      <c r="K111" s="20">
        <f>$K$96*0.4</f>
        <v>69.632000000000005</v>
      </c>
      <c r="M111" t="str">
        <f t="shared" si="84"/>
        <v>Dybstrøelse, lang ædeplads med spalter (kanal, bagskyl eller ringkanal) - gylle</v>
      </c>
      <c r="N111" s="195" t="s">
        <v>210</v>
      </c>
      <c r="O111" s="662" t="s">
        <v>210</v>
      </c>
      <c r="P111" s="663"/>
      <c r="Q111" t="str">
        <f t="shared" si="85"/>
        <v>Dybstrøelse, lang ædeplads med spalter (kanal, bagskyl eller ringkanal)</v>
      </c>
      <c r="R111" t="str">
        <f t="shared" si="85"/>
        <v>gylle</v>
      </c>
      <c r="S111" s="236">
        <f t="shared" si="78"/>
        <v>8.33297811993517</v>
      </c>
      <c r="T111" s="236">
        <f t="shared" si="79"/>
        <v>5.5316790923824959</v>
      </c>
      <c r="U111">
        <f t="shared" si="86"/>
        <v>0</v>
      </c>
      <c r="V111">
        <f t="shared" si="87"/>
        <v>0</v>
      </c>
      <c r="W111">
        <f t="shared" si="88"/>
        <v>0</v>
      </c>
      <c r="Y111" s="236">
        <f t="shared" si="80"/>
        <v>61.727865153970825</v>
      </c>
      <c r="AA111" t="str">
        <f t="shared" si="89"/>
        <v>ttu12_Dybstrøelse, lang ædeplads med spalter (kanal, bagskyl eller ringkanal) - gylle</v>
      </c>
    </row>
    <row r="112" spans="1:27" x14ac:dyDescent="0.25">
      <c r="A112" s="21">
        <v>1205</v>
      </c>
      <c r="B112" s="22">
        <v>9</v>
      </c>
      <c r="C112" s="22" t="s">
        <v>41</v>
      </c>
      <c r="D112" s="133" t="s">
        <v>23</v>
      </c>
      <c r="E112" s="132">
        <f t="shared" si="91"/>
        <v>23.5</v>
      </c>
      <c r="F112" s="20">
        <f t="shared" si="92"/>
        <v>15.6</v>
      </c>
      <c r="H112" s="35"/>
      <c r="I112" s="39">
        <f t="shared" si="65"/>
        <v>0</v>
      </c>
      <c r="J112" s="21"/>
      <c r="K112" s="20">
        <f>$K$96</f>
        <v>174.08</v>
      </c>
      <c r="M112" t="str">
        <f t="shared" si="84"/>
        <v>Spaltegulvbokse - gylle</v>
      </c>
      <c r="N112" s="195" t="s">
        <v>210</v>
      </c>
      <c r="O112" s="662" t="s">
        <v>210</v>
      </c>
      <c r="P112" s="663"/>
      <c r="Q112" t="str">
        <f t="shared" si="85"/>
        <v>Spaltegulvbokse</v>
      </c>
      <c r="R112" t="str">
        <f t="shared" si="85"/>
        <v>gylle</v>
      </c>
      <c r="S112" s="236">
        <f t="shared" si="78"/>
        <v>20.832445299837925</v>
      </c>
      <c r="T112" s="236">
        <f t="shared" si="79"/>
        <v>13.829197730956238</v>
      </c>
      <c r="U112">
        <f t="shared" si="86"/>
        <v>0</v>
      </c>
      <c r="V112">
        <f t="shared" si="87"/>
        <v>0</v>
      </c>
      <c r="W112">
        <f t="shared" si="88"/>
        <v>0</v>
      </c>
      <c r="Y112" s="236">
        <f t="shared" si="80"/>
        <v>154.31966288492706</v>
      </c>
      <c r="AA112" t="str">
        <f t="shared" si="89"/>
        <v>ttu12_Spaltegulvbokse - gylle</v>
      </c>
    </row>
    <row r="113" spans="1:27" x14ac:dyDescent="0.25">
      <c r="A113" s="21"/>
      <c r="B113" s="5"/>
      <c r="C113" s="5"/>
      <c r="D113" s="17"/>
      <c r="F113" s="20"/>
      <c r="H113" s="35"/>
      <c r="I113" s="39"/>
      <c r="J113" s="21"/>
      <c r="K113" s="20"/>
      <c r="N113" s="195" t="s">
        <v>210</v>
      </c>
      <c r="O113" s="662" t="s">
        <v>210</v>
      </c>
      <c r="P113" s="663"/>
      <c r="S113" s="236"/>
      <c r="T113" s="236"/>
      <c r="Y113" s="236"/>
    </row>
    <row r="114" spans="1:27" x14ac:dyDescent="0.25">
      <c r="A114" s="21"/>
      <c r="B114" s="5"/>
      <c r="C114" s="5"/>
      <c r="D114" s="17"/>
      <c r="F114" s="20"/>
      <c r="H114" s="35"/>
      <c r="I114" s="39"/>
      <c r="J114" s="21"/>
      <c r="K114" s="20"/>
      <c r="O114" s="662"/>
      <c r="P114" s="663"/>
      <c r="S114" s="236"/>
      <c r="T114" s="236"/>
      <c r="Y114" s="236"/>
    </row>
    <row r="115" spans="1:27" x14ac:dyDescent="0.25">
      <c r="A115" s="21"/>
      <c r="B115" s="5"/>
      <c r="C115" s="5"/>
      <c r="D115" s="17"/>
      <c r="F115" s="20"/>
      <c r="H115" s="35"/>
      <c r="I115" s="39"/>
      <c r="J115" s="21"/>
      <c r="K115" s="20"/>
      <c r="N115" s="134" t="str">
        <f>C95</f>
        <v>Ungtyre, 6 mdr. til slagtning (440 kg), tung race, (1 produceret ungtyr)</v>
      </c>
      <c r="O115" s="662"/>
      <c r="P115" s="663"/>
      <c r="Q115" s="12" t="s">
        <v>288</v>
      </c>
      <c r="S115" s="236">
        <f t="shared" ref="S115:S131" si="94">E96*$P$116</f>
        <v>33.908866045380876</v>
      </c>
      <c r="T115" s="236">
        <f t="shared" ref="T115:T131" si="95">F96*$P$116</f>
        <v>22.509715332252835</v>
      </c>
      <c r="Y115" s="236">
        <f t="shared" ref="Y115:Y131" si="96">K96*$P$116</f>
        <v>251.18533622042139</v>
      </c>
    </row>
    <row r="116" spans="1:27" x14ac:dyDescent="0.25">
      <c r="A116" s="21"/>
      <c r="B116" s="5"/>
      <c r="C116" s="5"/>
      <c r="D116" s="17"/>
      <c r="F116" s="20"/>
      <c r="H116" s="35"/>
      <c r="I116" s="39"/>
      <c r="J116" s="21"/>
      <c r="K116" s="20"/>
      <c r="N116" s="195" t="s">
        <v>211</v>
      </c>
      <c r="O116" s="662" t="s">
        <v>290</v>
      </c>
      <c r="P116" s="663">
        <f>(1.825*(512-230)+0.00605*(512^2-230^2))/1234</f>
        <v>1.4429304700162073</v>
      </c>
      <c r="Q116" t="str">
        <f>C97</f>
        <v>Bindestald med grebning</v>
      </c>
      <c r="R116" t="str">
        <f>D97</f>
        <v>fast gødning</v>
      </c>
      <c r="S116" s="236">
        <f t="shared" si="94"/>
        <v>20.345319627228523</v>
      </c>
      <c r="T116" s="236">
        <f t="shared" si="95"/>
        <v>13.5058291993517</v>
      </c>
      <c r="U116">
        <f t="shared" ref="U116:U130" si="97">G97</f>
        <v>0.75</v>
      </c>
      <c r="V116">
        <f t="shared" ref="V116:V131" si="98">H97</f>
        <v>1.1634374999999999</v>
      </c>
      <c r="W116">
        <f t="shared" ref="W116:W131" si="99">I97</f>
        <v>221.05312499999999</v>
      </c>
      <c r="Y116" s="236">
        <f t="shared" si="96"/>
        <v>0</v>
      </c>
      <c r="AA116" t="str">
        <f>$O$116&amp;"_"&amp;Q116&amp;" - "&amp;R116</f>
        <v>tto12_Bindestald med grebning - fast gødning</v>
      </c>
    </row>
    <row r="117" spans="1:27" x14ac:dyDescent="0.25">
      <c r="A117" s="21"/>
      <c r="B117" s="5"/>
      <c r="C117" s="5"/>
      <c r="D117" s="17"/>
      <c r="F117" s="20"/>
      <c r="H117" s="35"/>
      <c r="I117" s="39"/>
      <c r="J117" s="21"/>
      <c r="K117" s="20"/>
      <c r="N117" s="195" t="s">
        <v>212</v>
      </c>
      <c r="O117" s="664" t="s">
        <v>342</v>
      </c>
      <c r="P117" s="663"/>
      <c r="Q117" t="str">
        <f t="shared" ref="Q117:R117" si="100">C98</f>
        <v>Bindestald med grebning</v>
      </c>
      <c r="R117" t="str">
        <f t="shared" si="100"/>
        <v>ajle</v>
      </c>
      <c r="S117" s="236">
        <f t="shared" si="94"/>
        <v>13.563546418152349</v>
      </c>
      <c r="T117" s="236">
        <f t="shared" si="95"/>
        <v>9.0038861329011333</v>
      </c>
      <c r="U117">
        <f t="shared" si="97"/>
        <v>0</v>
      </c>
      <c r="V117">
        <f t="shared" si="98"/>
        <v>0</v>
      </c>
      <c r="W117">
        <f t="shared" si="99"/>
        <v>0</v>
      </c>
      <c r="Y117" s="236">
        <f t="shared" si="96"/>
        <v>0</v>
      </c>
      <c r="AA117" t="str">
        <f t="shared" ref="AA117:AA131" si="101">$O$116&amp;"_"&amp;Q117&amp;" - "&amp;R117</f>
        <v>tto12_Bindestald med grebning - ajle</v>
      </c>
    </row>
    <row r="118" spans="1:27" x14ac:dyDescent="0.25">
      <c r="A118" s="21"/>
      <c r="B118" s="5"/>
      <c r="C118" s="5"/>
      <c r="D118" s="17"/>
      <c r="F118" s="20"/>
      <c r="H118" s="35"/>
      <c r="I118" s="39"/>
      <c r="J118" s="21"/>
      <c r="K118" s="20"/>
      <c r="O118" s="662" t="s">
        <v>343</v>
      </c>
      <c r="P118" s="663"/>
      <c r="Q118" t="str">
        <f t="shared" ref="Q118:R118" si="102">C99</f>
        <v>Bindestald med riste</v>
      </c>
      <c r="R118" t="str">
        <f t="shared" si="102"/>
        <v>gylle</v>
      </c>
      <c r="S118" s="236">
        <f t="shared" si="94"/>
        <v>33.908866045380876</v>
      </c>
      <c r="T118" s="236">
        <f t="shared" si="95"/>
        <v>22.509715332252835</v>
      </c>
      <c r="U118">
        <f t="shared" si="97"/>
        <v>0.75</v>
      </c>
      <c r="V118">
        <f t="shared" si="98"/>
        <v>1.1634374999999999</v>
      </c>
      <c r="W118">
        <f t="shared" si="99"/>
        <v>221.05312499999999</v>
      </c>
      <c r="Y118" s="236">
        <f t="shared" si="96"/>
        <v>251.18533622042139</v>
      </c>
      <c r="AA118" t="str">
        <f t="shared" si="101"/>
        <v>tto12_Bindestald med riste - gylle</v>
      </c>
    </row>
    <row r="119" spans="1:27" x14ac:dyDescent="0.25">
      <c r="A119" s="21"/>
      <c r="B119" s="5"/>
      <c r="C119" s="5"/>
      <c r="D119" s="17"/>
      <c r="F119" s="20"/>
      <c r="H119" s="35"/>
      <c r="I119" s="39"/>
      <c r="J119" s="21"/>
      <c r="K119" s="20"/>
      <c r="O119" s="662"/>
      <c r="P119" s="663"/>
      <c r="Q119" t="str">
        <f t="shared" ref="Q119:R119" si="103">C100</f>
        <v>Sengestald med fast gulv</v>
      </c>
      <c r="R119" t="str">
        <f t="shared" si="103"/>
        <v>gylle</v>
      </c>
      <c r="S119" s="236">
        <f t="shared" si="94"/>
        <v>33.908866045380876</v>
      </c>
      <c r="T119" s="236">
        <f t="shared" si="95"/>
        <v>22.509715332252835</v>
      </c>
      <c r="U119">
        <f t="shared" si="97"/>
        <v>0.3</v>
      </c>
      <c r="V119">
        <f t="shared" si="98"/>
        <v>0.46537500000000004</v>
      </c>
      <c r="W119">
        <f t="shared" si="99"/>
        <v>88.421250000000001</v>
      </c>
      <c r="Y119" s="236">
        <f t="shared" si="96"/>
        <v>251.18533622042139</v>
      </c>
      <c r="AA119" t="str">
        <f t="shared" si="101"/>
        <v>tto12_Sengestald med fast gulv - gylle</v>
      </c>
    </row>
    <row r="120" spans="1:27" x14ac:dyDescent="0.25">
      <c r="A120" s="21"/>
      <c r="B120" s="5"/>
      <c r="C120" s="5"/>
      <c r="D120" s="17"/>
      <c r="F120" s="20"/>
      <c r="H120" s="35"/>
      <c r="I120" s="39"/>
      <c r="J120" s="21"/>
      <c r="K120" s="20"/>
      <c r="O120" s="662"/>
      <c r="P120" s="663"/>
      <c r="Q120" t="str">
        <f t="shared" ref="Q120:R120" si="104">C101</f>
        <v>Sengestald med spaltegulv (kanal, line- spil)</v>
      </c>
      <c r="R120" t="str">
        <f t="shared" si="104"/>
        <v>gylle</v>
      </c>
      <c r="S120" s="236">
        <f t="shared" si="94"/>
        <v>33.908866045380876</v>
      </c>
      <c r="T120" s="236">
        <f t="shared" si="95"/>
        <v>22.509715332252835</v>
      </c>
      <c r="U120">
        <f t="shared" si="97"/>
        <v>0.3</v>
      </c>
      <c r="V120">
        <f t="shared" si="98"/>
        <v>0.46537500000000004</v>
      </c>
      <c r="W120">
        <f t="shared" si="99"/>
        <v>88.421250000000001</v>
      </c>
      <c r="Y120" s="236">
        <f t="shared" si="96"/>
        <v>251.18533622042139</v>
      </c>
      <c r="AA120" t="str">
        <f t="shared" si="101"/>
        <v>tto12_Sengestald med spaltegulv (kanal, line- spil) - gylle</v>
      </c>
    </row>
    <row r="121" spans="1:27" x14ac:dyDescent="0.25">
      <c r="A121" s="21"/>
      <c r="B121" s="5"/>
      <c r="C121" s="5"/>
      <c r="D121" s="17"/>
      <c r="F121" s="20"/>
      <c r="H121" s="35"/>
      <c r="I121" s="39"/>
      <c r="J121" s="21"/>
      <c r="K121" s="20"/>
      <c r="O121" s="662"/>
      <c r="P121" s="663"/>
      <c r="Q121" t="str">
        <f t="shared" ref="Q121:R121" si="105">C102</f>
        <v>Sengestald med spaltegulv (kanal, bagskyl eller ringkanal)</v>
      </c>
      <c r="R121" t="str">
        <f t="shared" si="105"/>
        <v>gylle</v>
      </c>
      <c r="S121" s="236">
        <f t="shared" si="94"/>
        <v>33.908866045380876</v>
      </c>
      <c r="T121" s="236">
        <f t="shared" si="95"/>
        <v>22.509715332252835</v>
      </c>
      <c r="U121">
        <f t="shared" si="97"/>
        <v>0.3</v>
      </c>
      <c r="V121">
        <f t="shared" si="98"/>
        <v>0.46537500000000004</v>
      </c>
      <c r="W121">
        <f t="shared" si="99"/>
        <v>88.421250000000001</v>
      </c>
      <c r="Y121" s="236">
        <f t="shared" si="96"/>
        <v>251.18533622042139</v>
      </c>
      <c r="AA121" t="str">
        <f t="shared" si="101"/>
        <v>tto12_Sengestald med spaltegulv (kanal, bagskyl eller ringkanal) - gylle</v>
      </c>
    </row>
    <row r="122" spans="1:27" x14ac:dyDescent="0.25">
      <c r="A122" s="21"/>
      <c r="B122" s="5"/>
      <c r="C122" s="5"/>
      <c r="D122" s="17"/>
      <c r="F122" s="20"/>
      <c r="H122" s="35"/>
      <c r="I122" s="39"/>
      <c r="J122" s="21"/>
      <c r="K122" s="20"/>
      <c r="O122" s="662"/>
      <c r="P122" s="663"/>
      <c r="Q122" t="str">
        <f t="shared" ref="Q122:R122" si="106">C103</f>
        <v>Sengestald, fast drænet gulv med skra- ber og ajleafløb *)</v>
      </c>
      <c r="R122" t="str">
        <f t="shared" si="106"/>
        <v>gylle</v>
      </c>
      <c r="S122" s="236">
        <f t="shared" si="94"/>
        <v>33.908866045380876</v>
      </c>
      <c r="T122" s="236">
        <f t="shared" si="95"/>
        <v>22.509715332252835</v>
      </c>
      <c r="U122">
        <f t="shared" si="97"/>
        <v>0.3</v>
      </c>
      <c r="V122">
        <f t="shared" si="98"/>
        <v>0.46537500000000004</v>
      </c>
      <c r="W122">
        <f t="shared" si="99"/>
        <v>88.421250000000001</v>
      </c>
      <c r="Y122" s="236">
        <f t="shared" si="96"/>
        <v>251.18533622042139</v>
      </c>
      <c r="AA122" t="str">
        <f t="shared" si="101"/>
        <v>tto12_Sengestald, fast drænet gulv med skra- ber og ajleafløb *) - gylle</v>
      </c>
    </row>
    <row r="123" spans="1:27" x14ac:dyDescent="0.25">
      <c r="A123" s="21"/>
      <c r="B123" s="5"/>
      <c r="C123" s="5"/>
      <c r="D123" s="17"/>
      <c r="F123" s="20"/>
      <c r="H123" s="35"/>
      <c r="I123" s="39"/>
      <c r="J123" s="21"/>
      <c r="K123" s="20"/>
      <c r="O123" s="662"/>
      <c r="P123" s="663"/>
      <c r="Q123" t="str">
        <f t="shared" ref="Q123:R123" si="107">C104</f>
        <v>Dybstrøelse, hele arealet</v>
      </c>
      <c r="R123" t="str">
        <f t="shared" si="107"/>
        <v>dybstrøelse</v>
      </c>
      <c r="S123" s="236">
        <f t="shared" si="94"/>
        <v>33.908866045380876</v>
      </c>
      <c r="T123" s="236">
        <f t="shared" si="95"/>
        <v>0</v>
      </c>
      <c r="U123">
        <f t="shared" si="97"/>
        <v>3.8</v>
      </c>
      <c r="V123">
        <f t="shared" si="98"/>
        <v>5.8947500000000002</v>
      </c>
      <c r="W123">
        <f t="shared" si="99"/>
        <v>1120.0024999999998</v>
      </c>
      <c r="Y123" s="236">
        <f t="shared" si="96"/>
        <v>251.18533622042139</v>
      </c>
      <c r="AA123" t="str">
        <f t="shared" si="101"/>
        <v>tto12_Dybstrøelse, hele arealet - dybstrøelse</v>
      </c>
    </row>
    <row r="124" spans="1:27" x14ac:dyDescent="0.25">
      <c r="A124" s="21"/>
      <c r="B124" s="5"/>
      <c r="C124" s="5"/>
      <c r="D124" s="17"/>
      <c r="F124" s="20"/>
      <c r="H124" s="35"/>
      <c r="I124" s="39"/>
      <c r="J124" s="21"/>
      <c r="K124" s="20"/>
      <c r="O124" s="662"/>
      <c r="P124" s="663"/>
      <c r="Q124" t="str">
        <f t="shared" ref="Q124:R124" si="108">C105</f>
        <v>Dybstrøelse + kort ædeplads med fast gulv</v>
      </c>
      <c r="R124" t="str">
        <f t="shared" si="108"/>
        <v>dybstrøelse</v>
      </c>
      <c r="S124" s="236">
        <f t="shared" si="94"/>
        <v>33.908866045380876</v>
      </c>
      <c r="T124" s="236">
        <f t="shared" si="95"/>
        <v>0</v>
      </c>
      <c r="U124">
        <f t="shared" si="97"/>
        <v>3.2</v>
      </c>
      <c r="V124">
        <f t="shared" si="98"/>
        <v>4.9640000000000004</v>
      </c>
      <c r="W124">
        <f t="shared" si="99"/>
        <v>943.16000000000008</v>
      </c>
      <c r="Y124" s="236">
        <f t="shared" si="96"/>
        <v>251.18533622042139</v>
      </c>
      <c r="AA124" t="str">
        <f t="shared" si="101"/>
        <v>tto12_Dybstrøelse + kort ædeplads med fast gulv - dybstrøelse</v>
      </c>
    </row>
    <row r="125" spans="1:27" x14ac:dyDescent="0.25">
      <c r="A125" s="21"/>
      <c r="B125" s="5"/>
      <c r="C125" s="5"/>
      <c r="D125" s="17"/>
      <c r="F125" s="20"/>
      <c r="H125" s="35"/>
      <c r="I125" s="39"/>
      <c r="J125" s="21"/>
      <c r="K125" s="20"/>
      <c r="O125" s="662"/>
      <c r="P125" s="663"/>
      <c r="Q125" t="str">
        <f t="shared" ref="Q125:R125" si="109">C106</f>
        <v>Dybstrøelse, lang ædeplads med fast gulv</v>
      </c>
      <c r="R125" t="str">
        <f t="shared" si="109"/>
        <v>dybstrøelse</v>
      </c>
      <c r="S125" s="236">
        <f t="shared" si="94"/>
        <v>20.345319627228523</v>
      </c>
      <c r="T125" s="236">
        <f t="shared" si="95"/>
        <v>0</v>
      </c>
      <c r="U125">
        <f t="shared" si="97"/>
        <v>3.1</v>
      </c>
      <c r="V125">
        <f t="shared" si="98"/>
        <v>4.8088749999999996</v>
      </c>
      <c r="W125">
        <f t="shared" si="99"/>
        <v>913.68624999999986</v>
      </c>
      <c r="Y125" s="236">
        <f t="shared" si="96"/>
        <v>150.71120173225285</v>
      </c>
      <c r="AA125" t="str">
        <f t="shared" si="101"/>
        <v>tto12_Dybstrøelse, lang ædeplads med fast gulv - dybstrøelse</v>
      </c>
    </row>
    <row r="126" spans="1:27" x14ac:dyDescent="0.25">
      <c r="A126" s="21"/>
      <c r="B126" s="5"/>
      <c r="C126" s="5"/>
      <c r="D126" s="17"/>
      <c r="F126" s="20"/>
      <c r="H126" s="35"/>
      <c r="I126" s="39"/>
      <c r="J126" s="21"/>
      <c r="K126" s="20"/>
      <c r="O126" s="662"/>
      <c r="P126" s="663"/>
      <c r="Q126" t="str">
        <f t="shared" ref="Q126:R126" si="110">C107</f>
        <v>Dybstrøelse, lang ædeplads med fast gulv</v>
      </c>
      <c r="R126" t="str">
        <f t="shared" si="110"/>
        <v>gylle</v>
      </c>
      <c r="S126" s="236">
        <f t="shared" si="94"/>
        <v>13.563546418152349</v>
      </c>
      <c r="T126" s="236">
        <f t="shared" si="95"/>
        <v>9.0038861329011333</v>
      </c>
      <c r="U126">
        <f t="shared" si="97"/>
        <v>0</v>
      </c>
      <c r="V126">
        <f t="shared" si="98"/>
        <v>0</v>
      </c>
      <c r="W126">
        <f t="shared" si="99"/>
        <v>0</v>
      </c>
      <c r="Y126" s="236">
        <f t="shared" si="96"/>
        <v>100.47413448816856</v>
      </c>
      <c r="AA126" t="str">
        <f t="shared" si="101"/>
        <v>tto12_Dybstrøelse, lang ædeplads med fast gulv - gylle</v>
      </c>
    </row>
    <row r="127" spans="1:27" x14ac:dyDescent="0.25">
      <c r="A127" s="21"/>
      <c r="B127" s="5"/>
      <c r="C127" s="5"/>
      <c r="D127" s="17"/>
      <c r="F127" s="20"/>
      <c r="H127" s="35"/>
      <c r="I127" s="39"/>
      <c r="J127" s="21"/>
      <c r="K127" s="20"/>
      <c r="O127" s="662"/>
      <c r="P127" s="663"/>
      <c r="Q127" t="str">
        <f t="shared" ref="Q127:R127" si="111">C108</f>
        <v>Dybstrøelse, lang ædeplads med spalter (kanal, linespil)</v>
      </c>
      <c r="R127" t="str">
        <f t="shared" si="111"/>
        <v>dybstrøelse</v>
      </c>
      <c r="S127" s="236">
        <f t="shared" si="94"/>
        <v>20.345319627228523</v>
      </c>
      <c r="T127" s="236">
        <f t="shared" si="95"/>
        <v>0</v>
      </c>
      <c r="U127">
        <f t="shared" si="97"/>
        <v>3.1</v>
      </c>
      <c r="V127">
        <f t="shared" si="98"/>
        <v>4.8088749999999996</v>
      </c>
      <c r="W127">
        <f t="shared" si="99"/>
        <v>913.68624999999986</v>
      </c>
      <c r="Y127" s="236">
        <f t="shared" si="96"/>
        <v>150.71120173225285</v>
      </c>
      <c r="AA127" t="str">
        <f t="shared" si="101"/>
        <v>tto12_Dybstrøelse, lang ædeplads med spalter (kanal, linespil) - dybstrøelse</v>
      </c>
    </row>
    <row r="128" spans="1:27" x14ac:dyDescent="0.25">
      <c r="A128" s="21"/>
      <c r="B128" s="5"/>
      <c r="C128" s="5"/>
      <c r="D128" s="17"/>
      <c r="F128" s="20"/>
      <c r="H128" s="35"/>
      <c r="I128" s="39"/>
      <c r="J128" s="21"/>
      <c r="K128" s="20"/>
      <c r="O128" s="662"/>
      <c r="P128" s="663"/>
      <c r="Q128" t="str">
        <f t="shared" ref="Q128:R128" si="112">C109</f>
        <v>Dybstrøelse, lang ædeplads med spalter (kanal, linespil)</v>
      </c>
      <c r="R128" t="str">
        <f t="shared" si="112"/>
        <v>gylle</v>
      </c>
      <c r="S128" s="236">
        <f t="shared" si="94"/>
        <v>13.563546418152349</v>
      </c>
      <c r="T128" s="236">
        <f t="shared" si="95"/>
        <v>9.0038861329011333</v>
      </c>
      <c r="U128">
        <f t="shared" si="97"/>
        <v>0</v>
      </c>
      <c r="V128">
        <f t="shared" si="98"/>
        <v>0</v>
      </c>
      <c r="W128">
        <f t="shared" si="99"/>
        <v>0</v>
      </c>
      <c r="Y128" s="236">
        <f t="shared" si="96"/>
        <v>100.47413448816856</v>
      </c>
      <c r="AA128" t="str">
        <f t="shared" si="101"/>
        <v>tto12_Dybstrøelse, lang ædeplads med spalter (kanal, linespil) - gylle</v>
      </c>
    </row>
    <row r="129" spans="1:27" x14ac:dyDescent="0.25">
      <c r="A129" s="21"/>
      <c r="B129" s="5"/>
      <c r="C129" s="5"/>
      <c r="D129" s="17"/>
      <c r="F129" s="20"/>
      <c r="H129" s="35"/>
      <c r="I129" s="39"/>
      <c r="J129" s="21"/>
      <c r="K129" s="20"/>
      <c r="O129" s="662"/>
      <c r="P129" s="663"/>
      <c r="Q129" t="str">
        <f t="shared" ref="Q129:R129" si="113">C110</f>
        <v>Dybstrøelse, lang ædeplads med spalter (kanal, bagskyl eller ringkanal)</v>
      </c>
      <c r="R129" t="str">
        <f t="shared" si="113"/>
        <v>dybstrøelse</v>
      </c>
      <c r="S129" s="236">
        <f t="shared" si="94"/>
        <v>20.345319627228523</v>
      </c>
      <c r="T129" s="236">
        <f t="shared" si="95"/>
        <v>0</v>
      </c>
      <c r="U129">
        <f t="shared" si="97"/>
        <v>3.1</v>
      </c>
      <c r="V129">
        <f t="shared" si="98"/>
        <v>4.8088749999999996</v>
      </c>
      <c r="W129">
        <f t="shared" si="99"/>
        <v>913.68624999999986</v>
      </c>
      <c r="Y129" s="236">
        <f t="shared" si="96"/>
        <v>150.71120173225285</v>
      </c>
      <c r="AA129" t="str">
        <f t="shared" si="101"/>
        <v>tto12_Dybstrøelse, lang ædeplads med spalter (kanal, bagskyl eller ringkanal) - dybstrøelse</v>
      </c>
    </row>
    <row r="130" spans="1:27" x14ac:dyDescent="0.25">
      <c r="A130" s="21"/>
      <c r="B130" s="5"/>
      <c r="C130" s="5"/>
      <c r="D130" s="17"/>
      <c r="F130" s="20"/>
      <c r="H130" s="35"/>
      <c r="I130" s="39"/>
      <c r="J130" s="21"/>
      <c r="K130" s="20"/>
      <c r="O130" s="662"/>
      <c r="P130" s="663"/>
      <c r="Q130" t="str">
        <f t="shared" ref="Q130:R130" si="114">C111</f>
        <v>Dybstrøelse, lang ædeplads med spalter (kanal, bagskyl eller ringkanal)</v>
      </c>
      <c r="R130" t="str">
        <f t="shared" si="114"/>
        <v>gylle</v>
      </c>
      <c r="S130" s="236">
        <f t="shared" si="94"/>
        <v>13.563546418152349</v>
      </c>
      <c r="T130" s="236">
        <f t="shared" si="95"/>
        <v>9.0038861329011333</v>
      </c>
      <c r="U130">
        <f t="shared" si="97"/>
        <v>0</v>
      </c>
      <c r="V130">
        <f t="shared" si="98"/>
        <v>0</v>
      </c>
      <c r="W130">
        <f t="shared" si="99"/>
        <v>0</v>
      </c>
      <c r="Y130" s="236">
        <f t="shared" si="96"/>
        <v>100.47413448816856</v>
      </c>
      <c r="AA130" t="str">
        <f t="shared" si="101"/>
        <v>tto12_Dybstrøelse, lang ædeplads med spalter (kanal, bagskyl eller ringkanal) - gylle</v>
      </c>
    </row>
    <row r="131" spans="1:27" x14ac:dyDescent="0.25">
      <c r="A131" s="21"/>
      <c r="B131" s="5"/>
      <c r="C131" s="5"/>
      <c r="D131" s="17"/>
      <c r="F131" s="20"/>
      <c r="H131" s="35"/>
      <c r="I131" s="39"/>
      <c r="J131" s="21"/>
      <c r="K131" s="20"/>
      <c r="O131" s="662"/>
      <c r="P131" s="663"/>
      <c r="Q131" t="str">
        <f t="shared" ref="Q131:R131" si="115">C112</f>
        <v>Spaltegulvbokse</v>
      </c>
      <c r="R131" t="str">
        <f t="shared" si="115"/>
        <v>gylle</v>
      </c>
      <c r="S131" s="236">
        <f t="shared" si="94"/>
        <v>33.908866045380876</v>
      </c>
      <c r="T131" s="236">
        <f t="shared" si="95"/>
        <v>22.509715332252835</v>
      </c>
      <c r="U131">
        <f>G112</f>
        <v>0</v>
      </c>
      <c r="V131">
        <f t="shared" si="98"/>
        <v>0</v>
      </c>
      <c r="W131">
        <f t="shared" si="99"/>
        <v>0</v>
      </c>
      <c r="Y131" s="236">
        <f t="shared" si="96"/>
        <v>251.18533622042139</v>
      </c>
      <c r="AA131" t="str">
        <f t="shared" si="101"/>
        <v>tto12_Spaltegulvbokse - gylle</v>
      </c>
    </row>
    <row r="132" spans="1:27" x14ac:dyDescent="0.25">
      <c r="A132" s="21"/>
      <c r="B132" s="5"/>
      <c r="C132" s="5"/>
      <c r="D132" s="17"/>
      <c r="F132" s="20"/>
      <c r="H132" s="35"/>
      <c r="I132" s="39"/>
      <c r="J132" s="21"/>
      <c r="K132" s="20"/>
      <c r="O132" s="662"/>
      <c r="P132" s="663"/>
      <c r="S132" s="236"/>
      <c r="T132" s="236"/>
      <c r="Y132" s="236"/>
    </row>
    <row r="133" spans="1:27" s="142" customFormat="1" ht="25.5" customHeight="1" x14ac:dyDescent="0.25">
      <c r="A133" s="146"/>
      <c r="B133" s="147"/>
      <c r="C133" s="148" t="s">
        <v>31</v>
      </c>
      <c r="D133" s="147"/>
      <c r="E133" s="149"/>
      <c r="F133" s="150"/>
      <c r="H133" s="151"/>
      <c r="I133" s="152"/>
      <c r="J133" s="153"/>
      <c r="K133" s="154"/>
      <c r="N133" s="195"/>
      <c r="O133" s="662" t="s">
        <v>210</v>
      </c>
      <c r="P133" s="663"/>
      <c r="S133" s="236"/>
      <c r="T133" s="236"/>
      <c r="Y133" s="236"/>
    </row>
    <row r="134" spans="1:27" s="142" customFormat="1" ht="25.5" customHeight="1" x14ac:dyDescent="0.25">
      <c r="A134" s="153"/>
      <c r="C134" s="156" t="s">
        <v>53</v>
      </c>
      <c r="D134" s="157">
        <f>F134/E134</f>
        <v>0.42406015037593986</v>
      </c>
      <c r="E134" s="158">
        <v>133</v>
      </c>
      <c r="F134" s="159">
        <v>56.4</v>
      </c>
      <c r="H134" s="151"/>
      <c r="I134" s="152"/>
      <c r="J134" s="160">
        <v>22.2</v>
      </c>
      <c r="K134" s="161">
        <f>J134*1000*0.08*0.8</f>
        <v>1420.8000000000002</v>
      </c>
      <c r="M134" s="142" t="str">
        <f>C133</f>
        <v>1 årsko (malkekvæg, Jersey)</v>
      </c>
      <c r="N134" s="475" t="str">
        <f>C133</f>
        <v>1 årsko (malkekvæg, Jersey)</v>
      </c>
      <c r="O134" s="662"/>
      <c r="P134" s="663"/>
      <c r="Q134" s="155" t="s">
        <v>459</v>
      </c>
      <c r="R134"/>
      <c r="S134" s="236">
        <f>E134*$P$135</f>
        <v>133</v>
      </c>
      <c r="T134" s="236">
        <f>F134*$P$135</f>
        <v>56.4</v>
      </c>
      <c r="Y134" s="236">
        <f>K134*$P$135</f>
        <v>1420.8000000000002</v>
      </c>
    </row>
    <row r="135" spans="1:27" s="142" customFormat="1" x14ac:dyDescent="0.25">
      <c r="A135" s="153">
        <v>1231</v>
      </c>
      <c r="B135" s="142">
        <v>1</v>
      </c>
      <c r="C135" s="142" t="s">
        <v>21</v>
      </c>
      <c r="D135" s="162" t="s">
        <v>32</v>
      </c>
      <c r="E135" s="163">
        <f>$E$134*0.6</f>
        <v>79.8</v>
      </c>
      <c r="F135" s="164">
        <f>$F$134*0.6</f>
        <v>33.839999999999996</v>
      </c>
      <c r="G135" s="142">
        <v>1</v>
      </c>
      <c r="H135" s="151">
        <f>G135*0.85*365*$H$5</f>
        <v>1.55125</v>
      </c>
      <c r="I135" s="152">
        <f t="shared" ref="I135:I154" si="116">G135*0.85*(1-0.05)*365</f>
        <v>294.73750000000001</v>
      </c>
      <c r="J135" s="153"/>
      <c r="K135" s="164">
        <f>$K$134*0.6</f>
        <v>852.48000000000013</v>
      </c>
      <c r="M135" s="142" t="str">
        <f>C135&amp;" - "&amp;D135</f>
        <v>Bindestald med grebning - fast gødning</v>
      </c>
      <c r="N135" s="195" t="s">
        <v>210</v>
      </c>
      <c r="O135" s="662" t="s">
        <v>253</v>
      </c>
      <c r="P135" s="663">
        <v>1</v>
      </c>
      <c r="Q135" s="142" t="str">
        <f>C135</f>
        <v>Bindestald med grebning</v>
      </c>
      <c r="R135" s="142" t="str">
        <f>D135</f>
        <v>fast gødning</v>
      </c>
      <c r="S135" s="236">
        <f>E135*$P$135</f>
        <v>79.8</v>
      </c>
      <c r="T135" s="236">
        <f>F135*$P$135</f>
        <v>33.839999999999996</v>
      </c>
      <c r="U135" s="142">
        <f t="shared" ref="U135" si="117">G135</f>
        <v>1</v>
      </c>
      <c r="V135" s="142">
        <f t="shared" ref="V135" si="118">H135</f>
        <v>1.55125</v>
      </c>
      <c r="W135" s="142">
        <f t="shared" ref="W135" si="119">I135</f>
        <v>294.73750000000001</v>
      </c>
      <c r="Y135" s="236">
        <f>K135*$P$135</f>
        <v>852.48000000000013</v>
      </c>
      <c r="AA135" s="142" t="str">
        <f>$O$135&amp;"_"&amp;Q135&amp;" - "&amp;R135</f>
        <v>jk_Bindestald med grebning - fast gødning</v>
      </c>
    </row>
    <row r="136" spans="1:27" s="142" customFormat="1" x14ac:dyDescent="0.25">
      <c r="A136" s="153">
        <v>1231</v>
      </c>
      <c r="B136" s="142">
        <v>1</v>
      </c>
      <c r="C136" s="142" t="s">
        <v>21</v>
      </c>
      <c r="D136" s="162" t="s">
        <v>33</v>
      </c>
      <c r="E136" s="163">
        <f>$E$134*0.4</f>
        <v>53.2</v>
      </c>
      <c r="F136" s="164">
        <f>$F$134*0.4</f>
        <v>22.560000000000002</v>
      </c>
      <c r="H136" s="151"/>
      <c r="I136" s="152">
        <f t="shared" si="116"/>
        <v>0</v>
      </c>
      <c r="J136" s="153"/>
      <c r="K136" s="164">
        <f>$K$134*0.4</f>
        <v>568.32000000000005</v>
      </c>
      <c r="M136" s="142" t="str">
        <f t="shared" ref="M136:M150" si="120">C136&amp;" - "&amp;D136</f>
        <v>Bindestald med grebning - ajle</v>
      </c>
      <c r="N136" s="195" t="s">
        <v>210</v>
      </c>
      <c r="O136" s="662" t="s">
        <v>210</v>
      </c>
      <c r="P136" s="663"/>
      <c r="Q136" s="142" t="str">
        <f t="shared" ref="Q136:Q150" si="121">C136</f>
        <v>Bindestald med grebning</v>
      </c>
      <c r="R136" s="142" t="str">
        <f t="shared" ref="R136:R150" si="122">D136</f>
        <v>ajle</v>
      </c>
      <c r="S136" s="236">
        <f t="shared" ref="S136:S150" si="123">E136*$P$135</f>
        <v>53.2</v>
      </c>
      <c r="T136" s="236">
        <f t="shared" ref="T136:T150" si="124">F136*$P$135</f>
        <v>22.560000000000002</v>
      </c>
      <c r="U136" s="142">
        <f t="shared" ref="U136:U150" si="125">G136</f>
        <v>0</v>
      </c>
      <c r="V136" s="142">
        <f t="shared" ref="V136:V150" si="126">H136</f>
        <v>0</v>
      </c>
      <c r="W136" s="142">
        <f t="shared" ref="W136:W150" si="127">I136</f>
        <v>0</v>
      </c>
      <c r="Y136" s="236">
        <f t="shared" ref="Y136:Y150" si="128">K136*$P$135</f>
        <v>568.32000000000005</v>
      </c>
      <c r="AA136" s="142" t="str">
        <f t="shared" ref="AA136:AA150" si="129">$O$135&amp;"_"&amp;Q136&amp;" - "&amp;R136</f>
        <v>jk_Bindestald med grebning - ajle</v>
      </c>
    </row>
    <row r="137" spans="1:27" s="142" customFormat="1" x14ac:dyDescent="0.25">
      <c r="A137" s="153">
        <v>1231</v>
      </c>
      <c r="B137" s="142">
        <v>2</v>
      </c>
      <c r="C137" s="142" t="s">
        <v>22</v>
      </c>
      <c r="D137" s="142" t="s">
        <v>23</v>
      </c>
      <c r="E137" s="165">
        <f t="shared" ref="E137:E142" si="130">$E$134</f>
        <v>133</v>
      </c>
      <c r="F137" s="166">
        <f>$F$134</f>
        <v>56.4</v>
      </c>
      <c r="G137" s="142">
        <v>1</v>
      </c>
      <c r="H137" s="151">
        <f t="shared" ref="H137:H143" si="131">G137*0.85*365*$H$5</f>
        <v>1.55125</v>
      </c>
      <c r="I137" s="152">
        <f t="shared" si="116"/>
        <v>294.73750000000001</v>
      </c>
      <c r="J137" s="153"/>
      <c r="K137" s="166">
        <f t="shared" ref="K137:K142" si="132">$K$134</f>
        <v>1420.8000000000002</v>
      </c>
      <c r="M137" s="142" t="str">
        <f t="shared" si="120"/>
        <v>Bindestald med riste - gylle</v>
      </c>
      <c r="N137" s="195" t="s">
        <v>210</v>
      </c>
      <c r="O137" s="662" t="s">
        <v>210</v>
      </c>
      <c r="P137" s="663"/>
      <c r="Q137" s="142" t="str">
        <f t="shared" si="121"/>
        <v>Bindestald med riste</v>
      </c>
      <c r="R137" s="142" t="str">
        <f t="shared" si="122"/>
        <v>gylle</v>
      </c>
      <c r="S137" s="236">
        <f t="shared" si="123"/>
        <v>133</v>
      </c>
      <c r="T137" s="236">
        <f t="shared" si="124"/>
        <v>56.4</v>
      </c>
      <c r="U137" s="142">
        <f t="shared" si="125"/>
        <v>1</v>
      </c>
      <c r="V137" s="142">
        <f t="shared" si="126"/>
        <v>1.55125</v>
      </c>
      <c r="W137" s="142">
        <f t="shared" si="127"/>
        <v>294.73750000000001</v>
      </c>
      <c r="Y137" s="236">
        <f t="shared" si="128"/>
        <v>1420.8000000000002</v>
      </c>
      <c r="AA137" s="142" t="str">
        <f t="shared" si="129"/>
        <v>jk_Bindestald med riste - gylle</v>
      </c>
    </row>
    <row r="138" spans="1:27" s="142" customFormat="1" x14ac:dyDescent="0.25">
      <c r="A138" s="153">
        <v>1231</v>
      </c>
      <c r="B138" s="142">
        <v>3</v>
      </c>
      <c r="C138" s="142" t="s">
        <v>7</v>
      </c>
      <c r="D138" s="142" t="s">
        <v>23</v>
      </c>
      <c r="E138" s="165">
        <f t="shared" si="130"/>
        <v>133</v>
      </c>
      <c r="F138" s="166">
        <f>$F$134</f>
        <v>56.4</v>
      </c>
      <c r="G138" s="142">
        <v>0.3</v>
      </c>
      <c r="H138" s="151">
        <f t="shared" si="131"/>
        <v>0.46537500000000004</v>
      </c>
      <c r="I138" s="152">
        <f t="shared" si="116"/>
        <v>88.421250000000001</v>
      </c>
      <c r="J138" s="153"/>
      <c r="K138" s="166">
        <f t="shared" si="132"/>
        <v>1420.8000000000002</v>
      </c>
      <c r="M138" s="142" t="str">
        <f t="shared" si="120"/>
        <v>Sengestald med fast gulv - gylle</v>
      </c>
      <c r="N138" s="195" t="s">
        <v>210</v>
      </c>
      <c r="O138" s="662" t="s">
        <v>210</v>
      </c>
      <c r="P138" s="663"/>
      <c r="Q138" s="142" t="str">
        <f t="shared" si="121"/>
        <v>Sengestald med fast gulv</v>
      </c>
      <c r="R138" s="142" t="str">
        <f t="shared" si="122"/>
        <v>gylle</v>
      </c>
      <c r="S138" s="236">
        <f t="shared" si="123"/>
        <v>133</v>
      </c>
      <c r="T138" s="236">
        <f t="shared" si="124"/>
        <v>56.4</v>
      </c>
      <c r="U138" s="142">
        <f t="shared" si="125"/>
        <v>0.3</v>
      </c>
      <c r="V138" s="142">
        <f t="shared" si="126"/>
        <v>0.46537500000000004</v>
      </c>
      <c r="W138" s="142">
        <f t="shared" si="127"/>
        <v>88.421250000000001</v>
      </c>
      <c r="Y138" s="236">
        <f t="shared" si="128"/>
        <v>1420.8000000000002</v>
      </c>
      <c r="AA138" s="142" t="str">
        <f t="shared" si="129"/>
        <v>jk_Sengestald med fast gulv - gylle</v>
      </c>
    </row>
    <row r="139" spans="1:27" s="142" customFormat="1" x14ac:dyDescent="0.25">
      <c r="A139" s="153">
        <v>1231</v>
      </c>
      <c r="B139" s="142">
        <v>4</v>
      </c>
      <c r="C139" s="142" t="s">
        <v>24</v>
      </c>
      <c r="D139" s="142" t="s">
        <v>23</v>
      </c>
      <c r="E139" s="165">
        <f t="shared" si="130"/>
        <v>133</v>
      </c>
      <c r="F139" s="166">
        <f>$F$134</f>
        <v>56.4</v>
      </c>
      <c r="G139" s="142">
        <v>0.3</v>
      </c>
      <c r="H139" s="151">
        <f t="shared" si="131"/>
        <v>0.46537500000000004</v>
      </c>
      <c r="I139" s="152">
        <f t="shared" si="116"/>
        <v>88.421250000000001</v>
      </c>
      <c r="J139" s="153"/>
      <c r="K139" s="166">
        <f t="shared" si="132"/>
        <v>1420.8000000000002</v>
      </c>
      <c r="M139" s="142" t="str">
        <f t="shared" si="120"/>
        <v>Sengestald med spalter (kanal, linespil) - gylle</v>
      </c>
      <c r="N139" s="195" t="s">
        <v>210</v>
      </c>
      <c r="O139" s="662" t="s">
        <v>210</v>
      </c>
      <c r="P139" s="663"/>
      <c r="Q139" s="142" t="str">
        <f t="shared" si="121"/>
        <v>Sengestald med spalter (kanal, linespil)</v>
      </c>
      <c r="R139" s="142" t="str">
        <f t="shared" si="122"/>
        <v>gylle</v>
      </c>
      <c r="S139" s="236">
        <f t="shared" si="123"/>
        <v>133</v>
      </c>
      <c r="T139" s="236">
        <f t="shared" si="124"/>
        <v>56.4</v>
      </c>
      <c r="U139" s="142">
        <f t="shared" si="125"/>
        <v>0.3</v>
      </c>
      <c r="V139" s="142">
        <f t="shared" si="126"/>
        <v>0.46537500000000004</v>
      </c>
      <c r="W139" s="142">
        <f t="shared" si="127"/>
        <v>88.421250000000001</v>
      </c>
      <c r="Y139" s="236">
        <f t="shared" si="128"/>
        <v>1420.8000000000002</v>
      </c>
      <c r="AA139" s="142" t="str">
        <f t="shared" si="129"/>
        <v>jk_Sengestald med spalter (kanal, linespil) - gylle</v>
      </c>
    </row>
    <row r="140" spans="1:27" s="142" customFormat="1" x14ac:dyDescent="0.25">
      <c r="A140" s="153">
        <v>1231</v>
      </c>
      <c r="B140" s="142">
        <v>5</v>
      </c>
      <c r="C140" s="142" t="s">
        <v>25</v>
      </c>
      <c r="D140" s="142" t="s">
        <v>23</v>
      </c>
      <c r="E140" s="165">
        <f t="shared" si="130"/>
        <v>133</v>
      </c>
      <c r="F140" s="166">
        <f>$F$134</f>
        <v>56.4</v>
      </c>
      <c r="G140" s="142">
        <v>0.3</v>
      </c>
      <c r="H140" s="151">
        <f t="shared" si="131"/>
        <v>0.46537500000000004</v>
      </c>
      <c r="I140" s="152">
        <f t="shared" si="116"/>
        <v>88.421250000000001</v>
      </c>
      <c r="J140" s="153"/>
      <c r="K140" s="166">
        <f t="shared" si="132"/>
        <v>1420.8000000000002</v>
      </c>
      <c r="M140" s="142" t="str">
        <f t="shared" si="120"/>
        <v>Sengestald med spalter (kanal, bagskyl eller ringkanal) - gylle</v>
      </c>
      <c r="N140" s="195" t="s">
        <v>210</v>
      </c>
      <c r="O140" s="662" t="s">
        <v>210</v>
      </c>
      <c r="P140" s="663"/>
      <c r="Q140" s="142" t="str">
        <f t="shared" si="121"/>
        <v>Sengestald med spalter (kanal, bagskyl eller ringkanal)</v>
      </c>
      <c r="R140" s="142" t="str">
        <f t="shared" si="122"/>
        <v>gylle</v>
      </c>
      <c r="S140" s="236">
        <f t="shared" si="123"/>
        <v>133</v>
      </c>
      <c r="T140" s="236">
        <f t="shared" si="124"/>
        <v>56.4</v>
      </c>
      <c r="U140" s="142">
        <f t="shared" si="125"/>
        <v>0.3</v>
      </c>
      <c r="V140" s="142">
        <f t="shared" si="126"/>
        <v>0.46537500000000004</v>
      </c>
      <c r="W140" s="142">
        <f t="shared" si="127"/>
        <v>88.421250000000001</v>
      </c>
      <c r="Y140" s="236">
        <f t="shared" si="128"/>
        <v>1420.8000000000002</v>
      </c>
      <c r="AA140" s="142" t="str">
        <f t="shared" si="129"/>
        <v>jk_Sengestald med spalter (kanal, bagskyl eller ringkanal) - gylle</v>
      </c>
    </row>
    <row r="141" spans="1:27" s="142" customFormat="1" x14ac:dyDescent="0.25">
      <c r="A141" s="153">
        <v>1231</v>
      </c>
      <c r="B141" s="142">
        <v>14</v>
      </c>
      <c r="C141" s="142" t="s">
        <v>52</v>
      </c>
      <c r="D141" s="142" t="s">
        <v>23</v>
      </c>
      <c r="E141" s="165">
        <f t="shared" si="130"/>
        <v>133</v>
      </c>
      <c r="F141" s="166">
        <f>$F$134</f>
        <v>56.4</v>
      </c>
      <c r="G141" s="142">
        <v>0.3</v>
      </c>
      <c r="H141" s="151">
        <f t="shared" si="131"/>
        <v>0.46537500000000004</v>
      </c>
      <c r="I141" s="152">
        <f t="shared" si="116"/>
        <v>88.421250000000001</v>
      </c>
      <c r="J141" s="153"/>
      <c r="K141" s="166">
        <f t="shared" si="132"/>
        <v>1420.8000000000002</v>
      </c>
      <c r="M141" s="142" t="str">
        <f t="shared" si="120"/>
        <v>Sengestald, fast drænet gulv med skraber og ajleafløb *) - gylle</v>
      </c>
      <c r="N141" s="195" t="s">
        <v>210</v>
      </c>
      <c r="O141" s="662" t="s">
        <v>210</v>
      </c>
      <c r="P141" s="663"/>
      <c r="Q141" s="142" t="str">
        <f t="shared" si="121"/>
        <v>Sengestald, fast drænet gulv med skraber og ajleafløb *)</v>
      </c>
      <c r="R141" s="142" t="str">
        <f t="shared" si="122"/>
        <v>gylle</v>
      </c>
      <c r="S141" s="236">
        <f t="shared" si="123"/>
        <v>133</v>
      </c>
      <c r="T141" s="236">
        <f t="shared" si="124"/>
        <v>56.4</v>
      </c>
      <c r="U141" s="142">
        <f t="shared" si="125"/>
        <v>0.3</v>
      </c>
      <c r="V141" s="142">
        <f t="shared" si="126"/>
        <v>0.46537500000000004</v>
      </c>
      <c r="W141" s="142">
        <f t="shared" si="127"/>
        <v>88.421250000000001</v>
      </c>
      <c r="Y141" s="236">
        <f t="shared" si="128"/>
        <v>1420.8000000000002</v>
      </c>
      <c r="AA141" s="142" t="str">
        <f t="shared" si="129"/>
        <v>jk_Sengestald, fast drænet gulv med skraber og ajleafløb *) - gylle</v>
      </c>
    </row>
    <row r="142" spans="1:27" s="142" customFormat="1" x14ac:dyDescent="0.25">
      <c r="A142" s="153">
        <v>1231</v>
      </c>
      <c r="B142" s="142">
        <v>6</v>
      </c>
      <c r="C142" s="142" t="s">
        <v>26</v>
      </c>
      <c r="D142" s="142" t="s">
        <v>27</v>
      </c>
      <c r="E142" s="165">
        <f t="shared" si="130"/>
        <v>133</v>
      </c>
      <c r="F142" s="166"/>
      <c r="G142" s="142">
        <v>10</v>
      </c>
      <c r="H142" s="151">
        <f t="shared" si="131"/>
        <v>15.512500000000001</v>
      </c>
      <c r="I142" s="152">
        <f t="shared" si="116"/>
        <v>2947.3749999999995</v>
      </c>
      <c r="J142" s="153"/>
      <c r="K142" s="166">
        <f t="shared" si="132"/>
        <v>1420.8000000000002</v>
      </c>
      <c r="M142" s="142" t="str">
        <f t="shared" si="120"/>
        <v>Dybstrøelse (hele arealet) - dybstrøelse</v>
      </c>
      <c r="N142" s="195" t="s">
        <v>210</v>
      </c>
      <c r="O142" s="662" t="s">
        <v>210</v>
      </c>
      <c r="P142" s="663"/>
      <c r="Q142" s="142" t="str">
        <f t="shared" si="121"/>
        <v>Dybstrøelse (hele arealet)</v>
      </c>
      <c r="R142" s="142" t="str">
        <f t="shared" si="122"/>
        <v>dybstrøelse</v>
      </c>
      <c r="S142" s="236">
        <f t="shared" si="123"/>
        <v>133</v>
      </c>
      <c r="T142" s="236">
        <f t="shared" si="124"/>
        <v>0</v>
      </c>
      <c r="U142" s="142">
        <f t="shared" si="125"/>
        <v>10</v>
      </c>
      <c r="V142" s="142">
        <f t="shared" si="126"/>
        <v>15.512500000000001</v>
      </c>
      <c r="W142" s="142">
        <f t="shared" si="127"/>
        <v>2947.3749999999995</v>
      </c>
      <c r="Y142" s="236">
        <f t="shared" si="128"/>
        <v>1420.8000000000002</v>
      </c>
      <c r="AA142" s="142" t="str">
        <f t="shared" si="129"/>
        <v>jk_Dybstrøelse (hele arealet) - dybstrøelse</v>
      </c>
    </row>
    <row r="143" spans="1:27" s="142" customFormat="1" x14ac:dyDescent="0.25">
      <c r="A143" s="153">
        <v>1231</v>
      </c>
      <c r="B143" s="142">
        <v>7</v>
      </c>
      <c r="C143" s="142" t="s">
        <v>28</v>
      </c>
      <c r="D143" s="162" t="s">
        <v>27</v>
      </c>
      <c r="E143" s="163">
        <f>$E$134*0.6</f>
        <v>79.8</v>
      </c>
      <c r="F143" s="164"/>
      <c r="G143" s="142">
        <v>8</v>
      </c>
      <c r="H143" s="151">
        <f t="shared" si="131"/>
        <v>12.41</v>
      </c>
      <c r="I143" s="152">
        <f t="shared" si="116"/>
        <v>2357.9</v>
      </c>
      <c r="J143" s="153"/>
      <c r="K143" s="164">
        <f>$K$134*0.6</f>
        <v>852.48000000000013</v>
      </c>
      <c r="M143" s="142" t="str">
        <f t="shared" si="120"/>
        <v>Dybstrøelse, lang ædeplads med fast gulv - dybstrøelse</v>
      </c>
      <c r="N143" s="195" t="s">
        <v>210</v>
      </c>
      <c r="O143" s="662" t="s">
        <v>210</v>
      </c>
      <c r="P143" s="663"/>
      <c r="Q143" s="142" t="str">
        <f t="shared" si="121"/>
        <v>Dybstrøelse, lang ædeplads med fast gulv</v>
      </c>
      <c r="R143" s="142" t="str">
        <f t="shared" si="122"/>
        <v>dybstrøelse</v>
      </c>
      <c r="S143" s="236">
        <f t="shared" si="123"/>
        <v>79.8</v>
      </c>
      <c r="T143" s="236">
        <f t="shared" si="124"/>
        <v>0</v>
      </c>
      <c r="U143" s="142">
        <f t="shared" si="125"/>
        <v>8</v>
      </c>
      <c r="V143" s="142">
        <f t="shared" si="126"/>
        <v>12.41</v>
      </c>
      <c r="W143" s="142">
        <f t="shared" si="127"/>
        <v>2357.9</v>
      </c>
      <c r="Y143" s="236">
        <f t="shared" si="128"/>
        <v>852.48000000000013</v>
      </c>
      <c r="AA143" s="142" t="str">
        <f t="shared" si="129"/>
        <v>jk_Dybstrøelse, lang ædeplads med fast gulv - dybstrøelse</v>
      </c>
    </row>
    <row r="144" spans="1:27" s="142" customFormat="1" x14ac:dyDescent="0.25">
      <c r="A144" s="153">
        <v>1231</v>
      </c>
      <c r="B144" s="142">
        <v>7</v>
      </c>
      <c r="C144" s="142" t="s">
        <v>28</v>
      </c>
      <c r="D144" s="162" t="s">
        <v>23</v>
      </c>
      <c r="E144" s="163">
        <f>$E$134*0.4</f>
        <v>53.2</v>
      </c>
      <c r="F144" s="164">
        <f>$F$134*0.4</f>
        <v>22.560000000000002</v>
      </c>
      <c r="H144" s="151"/>
      <c r="I144" s="152">
        <f t="shared" si="116"/>
        <v>0</v>
      </c>
      <c r="J144" s="153"/>
      <c r="K144" s="164">
        <f>$K$134*0.4</f>
        <v>568.32000000000005</v>
      </c>
      <c r="M144" s="142" t="str">
        <f t="shared" si="120"/>
        <v>Dybstrøelse, lang ædeplads med fast gulv - gylle</v>
      </c>
      <c r="N144" s="195" t="s">
        <v>210</v>
      </c>
      <c r="O144" s="662" t="s">
        <v>210</v>
      </c>
      <c r="P144" s="663"/>
      <c r="Q144" s="142" t="str">
        <f t="shared" si="121"/>
        <v>Dybstrøelse, lang ædeplads med fast gulv</v>
      </c>
      <c r="R144" s="142" t="str">
        <f t="shared" si="122"/>
        <v>gylle</v>
      </c>
      <c r="S144" s="236">
        <f t="shared" si="123"/>
        <v>53.2</v>
      </c>
      <c r="T144" s="236">
        <f t="shared" si="124"/>
        <v>22.560000000000002</v>
      </c>
      <c r="U144" s="142">
        <f t="shared" si="125"/>
        <v>0</v>
      </c>
      <c r="V144" s="142">
        <f t="shared" si="126"/>
        <v>0</v>
      </c>
      <c r="W144" s="142">
        <f t="shared" si="127"/>
        <v>0</v>
      </c>
      <c r="Y144" s="236">
        <f t="shared" si="128"/>
        <v>568.32000000000005</v>
      </c>
      <c r="AA144" s="142" t="str">
        <f t="shared" si="129"/>
        <v>jk_Dybstrøelse, lang ædeplads med fast gulv - gylle</v>
      </c>
    </row>
    <row r="145" spans="1:27" s="142" customFormat="1" x14ac:dyDescent="0.25">
      <c r="A145" s="153">
        <v>1231</v>
      </c>
      <c r="B145" s="142">
        <v>8</v>
      </c>
      <c r="C145" s="142" t="s">
        <v>29</v>
      </c>
      <c r="D145" s="162" t="s">
        <v>27</v>
      </c>
      <c r="E145" s="163">
        <f>$E$134*0.6</f>
        <v>79.8</v>
      </c>
      <c r="F145" s="164"/>
      <c r="G145" s="142">
        <v>8</v>
      </c>
      <c r="H145" s="151">
        <f>G145*0.85*365*$H$5</f>
        <v>12.41</v>
      </c>
      <c r="I145" s="152">
        <f t="shared" si="116"/>
        <v>2357.9</v>
      </c>
      <c r="J145" s="153"/>
      <c r="K145" s="164">
        <f>$K$134*0.6</f>
        <v>852.48000000000013</v>
      </c>
      <c r="M145" s="142" t="str">
        <f t="shared" si="120"/>
        <v>Dybstrøelse, lang ædeplads med spalter (kanal, linespil) - dybstrøelse</v>
      </c>
      <c r="N145" s="195" t="s">
        <v>210</v>
      </c>
      <c r="O145" s="662" t="s">
        <v>210</v>
      </c>
      <c r="P145" s="663"/>
      <c r="Q145" s="142" t="str">
        <f t="shared" si="121"/>
        <v>Dybstrøelse, lang ædeplads med spalter (kanal, linespil)</v>
      </c>
      <c r="R145" s="142" t="str">
        <f t="shared" si="122"/>
        <v>dybstrøelse</v>
      </c>
      <c r="S145" s="236">
        <f t="shared" si="123"/>
        <v>79.8</v>
      </c>
      <c r="T145" s="236">
        <f t="shared" si="124"/>
        <v>0</v>
      </c>
      <c r="U145" s="142">
        <f t="shared" si="125"/>
        <v>8</v>
      </c>
      <c r="V145" s="142">
        <f t="shared" si="126"/>
        <v>12.41</v>
      </c>
      <c r="W145" s="142">
        <f t="shared" si="127"/>
        <v>2357.9</v>
      </c>
      <c r="Y145" s="236">
        <f t="shared" si="128"/>
        <v>852.48000000000013</v>
      </c>
      <c r="AA145" s="142" t="str">
        <f t="shared" si="129"/>
        <v>jk_Dybstrøelse, lang ædeplads med spalter (kanal, linespil) - dybstrøelse</v>
      </c>
    </row>
    <row r="146" spans="1:27" s="142" customFormat="1" x14ac:dyDescent="0.25">
      <c r="A146" s="153">
        <v>1231</v>
      </c>
      <c r="B146" s="142">
        <v>8</v>
      </c>
      <c r="C146" s="142" t="s">
        <v>29</v>
      </c>
      <c r="D146" s="162" t="s">
        <v>23</v>
      </c>
      <c r="E146" s="163">
        <f>$E$134*0.4</f>
        <v>53.2</v>
      </c>
      <c r="F146" s="164">
        <f>$F$134*0.4</f>
        <v>22.560000000000002</v>
      </c>
      <c r="H146" s="151"/>
      <c r="I146" s="152">
        <f t="shared" si="116"/>
        <v>0</v>
      </c>
      <c r="J146" s="153"/>
      <c r="K146" s="164">
        <f>$K$134*0.4</f>
        <v>568.32000000000005</v>
      </c>
      <c r="M146" s="142" t="str">
        <f t="shared" si="120"/>
        <v>Dybstrøelse, lang ædeplads med spalter (kanal, linespil) - gylle</v>
      </c>
      <c r="N146" s="195" t="s">
        <v>210</v>
      </c>
      <c r="O146" s="662" t="s">
        <v>210</v>
      </c>
      <c r="P146" s="663"/>
      <c r="Q146" s="142" t="str">
        <f t="shared" si="121"/>
        <v>Dybstrøelse, lang ædeplads med spalter (kanal, linespil)</v>
      </c>
      <c r="R146" s="142" t="str">
        <f t="shared" si="122"/>
        <v>gylle</v>
      </c>
      <c r="S146" s="236">
        <f t="shared" si="123"/>
        <v>53.2</v>
      </c>
      <c r="T146" s="236">
        <f t="shared" si="124"/>
        <v>22.560000000000002</v>
      </c>
      <c r="U146" s="142">
        <f t="shared" si="125"/>
        <v>0</v>
      </c>
      <c r="V146" s="142">
        <f t="shared" si="126"/>
        <v>0</v>
      </c>
      <c r="W146" s="142">
        <f t="shared" si="127"/>
        <v>0</v>
      </c>
      <c r="Y146" s="236">
        <f t="shared" si="128"/>
        <v>568.32000000000005</v>
      </c>
      <c r="AA146" s="142" t="str">
        <f t="shared" si="129"/>
        <v>jk_Dybstrøelse, lang ædeplads med spalter (kanal, linespil) - gylle</v>
      </c>
    </row>
    <row r="147" spans="1:27" s="142" customFormat="1" x14ac:dyDescent="0.25">
      <c r="A147" s="153">
        <v>1231</v>
      </c>
      <c r="B147" s="142">
        <v>9</v>
      </c>
      <c r="C147" s="142" t="s">
        <v>30</v>
      </c>
      <c r="D147" s="162" t="s">
        <v>27</v>
      </c>
      <c r="E147" s="163">
        <f>$E$134*0.6</f>
        <v>79.8</v>
      </c>
      <c r="F147" s="164"/>
      <c r="G147" s="142">
        <v>8</v>
      </c>
      <c r="H147" s="151">
        <f>G147*0.85*365*$H$5</f>
        <v>12.41</v>
      </c>
      <c r="I147" s="152">
        <f t="shared" si="116"/>
        <v>2357.9</v>
      </c>
      <c r="J147" s="153"/>
      <c r="K147" s="164">
        <f>$K$134*0.6</f>
        <v>852.48000000000013</v>
      </c>
      <c r="M147" s="142" t="str">
        <f t="shared" si="120"/>
        <v>Dybstrøelse, lang ædeplads med spalter (kanal, bagskyl eller ringkanal) - dybstrøelse</v>
      </c>
      <c r="N147" s="195" t="s">
        <v>210</v>
      </c>
      <c r="O147" s="662" t="s">
        <v>210</v>
      </c>
      <c r="P147" s="663"/>
      <c r="Q147" s="142" t="str">
        <f t="shared" si="121"/>
        <v>Dybstrøelse, lang ædeplads med spalter (kanal, bagskyl eller ringkanal)</v>
      </c>
      <c r="R147" s="142" t="str">
        <f t="shared" si="122"/>
        <v>dybstrøelse</v>
      </c>
      <c r="S147" s="236">
        <f t="shared" si="123"/>
        <v>79.8</v>
      </c>
      <c r="T147" s="236">
        <f t="shared" si="124"/>
        <v>0</v>
      </c>
      <c r="U147" s="142">
        <f t="shared" si="125"/>
        <v>8</v>
      </c>
      <c r="V147" s="142">
        <f t="shared" si="126"/>
        <v>12.41</v>
      </c>
      <c r="W147" s="142">
        <f t="shared" si="127"/>
        <v>2357.9</v>
      </c>
      <c r="Y147" s="236">
        <f t="shared" si="128"/>
        <v>852.48000000000013</v>
      </c>
      <c r="AA147" s="142" t="str">
        <f t="shared" si="129"/>
        <v>jk_Dybstrøelse, lang ædeplads med spalter (kanal, bagskyl eller ringkanal) - dybstrøelse</v>
      </c>
    </row>
    <row r="148" spans="1:27" s="142" customFormat="1" x14ac:dyDescent="0.25">
      <c r="A148" s="153">
        <v>1231</v>
      </c>
      <c r="B148" s="142">
        <v>9</v>
      </c>
      <c r="C148" s="142" t="s">
        <v>30</v>
      </c>
      <c r="D148" s="162" t="s">
        <v>23</v>
      </c>
      <c r="E148" s="163">
        <f>$E$134*0.4</f>
        <v>53.2</v>
      </c>
      <c r="F148" s="164">
        <f>$F$134*0.4</f>
        <v>22.560000000000002</v>
      </c>
      <c r="H148" s="151"/>
      <c r="I148" s="152">
        <f t="shared" si="116"/>
        <v>0</v>
      </c>
      <c r="J148" s="153"/>
      <c r="K148" s="164">
        <f>$K$134*0.4</f>
        <v>568.32000000000005</v>
      </c>
      <c r="M148" s="142" t="str">
        <f t="shared" si="120"/>
        <v>Dybstrøelse, lang ædeplads med spalter (kanal, bagskyl eller ringkanal) - gylle</v>
      </c>
      <c r="N148" s="195" t="s">
        <v>210</v>
      </c>
      <c r="O148" s="662" t="s">
        <v>210</v>
      </c>
      <c r="P148" s="663"/>
      <c r="Q148" s="142" t="str">
        <f t="shared" si="121"/>
        <v>Dybstrøelse, lang ædeplads med spalter (kanal, bagskyl eller ringkanal)</v>
      </c>
      <c r="R148" s="142" t="str">
        <f t="shared" si="122"/>
        <v>gylle</v>
      </c>
      <c r="S148" s="236">
        <f t="shared" si="123"/>
        <v>53.2</v>
      </c>
      <c r="T148" s="236">
        <f t="shared" si="124"/>
        <v>22.560000000000002</v>
      </c>
      <c r="U148" s="142">
        <f t="shared" si="125"/>
        <v>0</v>
      </c>
      <c r="V148" s="142">
        <f t="shared" si="126"/>
        <v>0</v>
      </c>
      <c r="W148" s="142">
        <f t="shared" si="127"/>
        <v>0</v>
      </c>
      <c r="Y148" s="236">
        <f t="shared" si="128"/>
        <v>568.32000000000005</v>
      </c>
      <c r="AA148" s="142" t="str">
        <f t="shared" si="129"/>
        <v>jk_Dybstrøelse, lang ædeplads med spalter (kanal, bagskyl eller ringkanal) - gylle</v>
      </c>
    </row>
    <row r="149" spans="1:27" s="142" customFormat="1" x14ac:dyDescent="0.25">
      <c r="A149" s="153">
        <v>1231</v>
      </c>
      <c r="B149" s="142">
        <v>15</v>
      </c>
      <c r="C149" s="142" t="s">
        <v>219</v>
      </c>
      <c r="D149" s="162" t="s">
        <v>27</v>
      </c>
      <c r="E149" s="163">
        <f>$E$134*0.6</f>
        <v>79.8</v>
      </c>
      <c r="F149" s="164"/>
      <c r="G149" s="142">
        <v>8</v>
      </c>
      <c r="H149" s="151">
        <f>G149*0.85*365*$H$5</f>
        <v>12.41</v>
      </c>
      <c r="I149" s="152">
        <f t="shared" si="116"/>
        <v>2357.9</v>
      </c>
      <c r="J149" s="153"/>
      <c r="K149" s="164">
        <f>$K$134*0.6</f>
        <v>852.48000000000013</v>
      </c>
      <c r="M149" s="142" t="str">
        <f t="shared" si="120"/>
        <v>Dybstrøelse, lang ædeplads, fast drænet gulv med skraber og ajleafløb - dybstrøelse</v>
      </c>
      <c r="N149" s="195" t="s">
        <v>210</v>
      </c>
      <c r="O149" s="662" t="s">
        <v>210</v>
      </c>
      <c r="P149" s="663"/>
      <c r="Q149" s="142" t="str">
        <f t="shared" si="121"/>
        <v>Dybstrøelse, lang ædeplads, fast drænet gulv med skraber og ajleafløb</v>
      </c>
      <c r="R149" s="142" t="str">
        <f t="shared" si="122"/>
        <v>dybstrøelse</v>
      </c>
      <c r="S149" s="236">
        <f t="shared" si="123"/>
        <v>79.8</v>
      </c>
      <c r="T149" s="236">
        <f t="shared" si="124"/>
        <v>0</v>
      </c>
      <c r="U149" s="142">
        <f t="shared" si="125"/>
        <v>8</v>
      </c>
      <c r="V149" s="142">
        <f t="shared" si="126"/>
        <v>12.41</v>
      </c>
      <c r="W149" s="142">
        <f t="shared" si="127"/>
        <v>2357.9</v>
      </c>
      <c r="Y149" s="236">
        <f t="shared" si="128"/>
        <v>852.48000000000013</v>
      </c>
      <c r="AA149" s="142" t="str">
        <f t="shared" si="129"/>
        <v>jk_Dybstrøelse, lang ædeplads, fast drænet gulv med skraber og ajleafløb - dybstrøelse</v>
      </c>
    </row>
    <row r="150" spans="1:27" s="142" customFormat="1" x14ac:dyDescent="0.25">
      <c r="A150" s="153">
        <v>1231</v>
      </c>
      <c r="B150" s="142">
        <v>15</v>
      </c>
      <c r="C150" s="142" t="s">
        <v>219</v>
      </c>
      <c r="D150" s="162" t="s">
        <v>23</v>
      </c>
      <c r="E150" s="163">
        <f>$E$134*0.4</f>
        <v>53.2</v>
      </c>
      <c r="F150" s="164">
        <f>$F$134*0.4</f>
        <v>22.560000000000002</v>
      </c>
      <c r="H150" s="151"/>
      <c r="I150" s="152">
        <f t="shared" si="116"/>
        <v>0</v>
      </c>
      <c r="J150" s="153"/>
      <c r="K150" s="164">
        <f>$K$134*0.4</f>
        <v>568.32000000000005</v>
      </c>
      <c r="M150" s="142" t="str">
        <f t="shared" si="120"/>
        <v>Dybstrøelse, lang ædeplads, fast drænet gulv med skraber og ajleafløb - gylle</v>
      </c>
      <c r="N150" s="195" t="s">
        <v>210</v>
      </c>
      <c r="O150" s="662" t="s">
        <v>210</v>
      </c>
      <c r="P150" s="663"/>
      <c r="Q150" s="142" t="str">
        <f t="shared" si="121"/>
        <v>Dybstrøelse, lang ædeplads, fast drænet gulv med skraber og ajleafløb</v>
      </c>
      <c r="R150" s="142" t="str">
        <f t="shared" si="122"/>
        <v>gylle</v>
      </c>
      <c r="S150" s="236">
        <f t="shared" si="123"/>
        <v>53.2</v>
      </c>
      <c r="T150" s="236">
        <f t="shared" si="124"/>
        <v>22.560000000000002</v>
      </c>
      <c r="U150" s="142">
        <f t="shared" si="125"/>
        <v>0</v>
      </c>
      <c r="V150" s="142">
        <f t="shared" si="126"/>
        <v>0</v>
      </c>
      <c r="W150" s="142">
        <f t="shared" si="127"/>
        <v>0</v>
      </c>
      <c r="Y150" s="236">
        <f t="shared" si="128"/>
        <v>568.32000000000005</v>
      </c>
      <c r="AA150" s="142" t="str">
        <f t="shared" si="129"/>
        <v>jk_Dybstrøelse, lang ædeplads, fast drænet gulv med skraber og ajleafløb - gylle</v>
      </c>
    </row>
    <row r="151" spans="1:27" s="142" customFormat="1" x14ac:dyDescent="0.25">
      <c r="A151" s="146"/>
      <c r="B151" s="147"/>
      <c r="C151" s="148" t="s">
        <v>37</v>
      </c>
      <c r="D151" s="147"/>
      <c r="E151" s="149"/>
      <c r="F151" s="150"/>
      <c r="H151" s="151"/>
      <c r="I151" s="152">
        <f t="shared" si="116"/>
        <v>0</v>
      </c>
      <c r="J151" s="153"/>
      <c r="K151" s="154"/>
      <c r="N151" s="195" t="s">
        <v>210</v>
      </c>
      <c r="O151" s="662"/>
      <c r="P151" s="663"/>
      <c r="S151" s="236"/>
      <c r="T151" s="236"/>
      <c r="Y151" s="236"/>
    </row>
    <row r="152" spans="1:27" s="142" customFormat="1" x14ac:dyDescent="0.25">
      <c r="A152" s="153"/>
      <c r="C152" s="156" t="s">
        <v>53</v>
      </c>
      <c r="D152" s="157">
        <f>14.2/E152</f>
        <v>0.71</v>
      </c>
      <c r="E152" s="158">
        <v>20</v>
      </c>
      <c r="F152" s="167">
        <f>E152*D152</f>
        <v>14.2</v>
      </c>
      <c r="H152" s="151"/>
      <c r="I152" s="152">
        <f t="shared" si="116"/>
        <v>0</v>
      </c>
      <c r="J152" s="160">
        <v>1.84</v>
      </c>
      <c r="K152" s="161">
        <f>J152*1000*0.08*0.8</f>
        <v>117.76000000000002</v>
      </c>
      <c r="M152" s="142" t="str">
        <f>C151</f>
        <v>Årsopdræt, 0-6 mdr., småkalv, Jersey</v>
      </c>
      <c r="N152" s="475" t="str">
        <f>C151</f>
        <v>Årsopdræt, 0-6 mdr., småkalv, Jersey</v>
      </c>
      <c r="O152" s="662"/>
      <c r="P152" s="663"/>
      <c r="Q152" s="155" t="s">
        <v>589</v>
      </c>
      <c r="R152" s="261"/>
      <c r="S152" s="561">
        <f t="shared" ref="S152:T154" si="133">E152*$P$153</f>
        <v>16.769060773480664</v>
      </c>
      <c r="T152" s="561">
        <f t="shared" si="133"/>
        <v>11.906033149171272</v>
      </c>
      <c r="Y152" s="561">
        <f t="shared" ref="Y152:Y154" si="134">K152*$P$153</f>
        <v>98.736229834254161</v>
      </c>
    </row>
    <row r="153" spans="1:27" s="142" customFormat="1" x14ac:dyDescent="0.25">
      <c r="A153" s="153">
        <v>1232</v>
      </c>
      <c r="B153" s="142">
        <v>1</v>
      </c>
      <c r="C153" s="142" t="s">
        <v>26</v>
      </c>
      <c r="D153" s="142" t="s">
        <v>6</v>
      </c>
      <c r="E153" s="165">
        <f>$E$152</f>
        <v>20</v>
      </c>
      <c r="F153" s="168">
        <f>$F$152</f>
        <v>14.2</v>
      </c>
      <c r="G153" s="142">
        <v>1.2</v>
      </c>
      <c r="H153" s="151">
        <f>G153*0.85*365*$H$5</f>
        <v>1.8615000000000002</v>
      </c>
      <c r="I153" s="152">
        <f t="shared" si="116"/>
        <v>353.685</v>
      </c>
      <c r="J153" s="153"/>
      <c r="K153" s="166">
        <f>$K$152</f>
        <v>117.76000000000002</v>
      </c>
      <c r="M153" s="142" t="str">
        <f>C153&amp;" - "&amp;D153</f>
        <v>Dybstrøelse (hele arealet) - Dybstrøelse</v>
      </c>
      <c r="N153" s="195" t="s">
        <v>205</v>
      </c>
      <c r="O153" s="662" t="s">
        <v>584</v>
      </c>
      <c r="P153" s="663">
        <f>(((0 +1) * 0.0576) + 1.46) / 1.81</f>
        <v>0.8384530386740332</v>
      </c>
      <c r="Q153" s="142" t="str">
        <f>C153</f>
        <v>Dybstrøelse (hele arealet)</v>
      </c>
      <c r="R153" s="142" t="str">
        <f>D153</f>
        <v>Dybstrøelse</v>
      </c>
      <c r="S153" s="561">
        <f t="shared" si="133"/>
        <v>16.769060773480664</v>
      </c>
      <c r="T153" s="561">
        <f t="shared" si="133"/>
        <v>11.906033149171272</v>
      </c>
      <c r="U153" s="142">
        <f t="shared" ref="U153" si="135">G153</f>
        <v>1.2</v>
      </c>
      <c r="V153" s="142">
        <f t="shared" ref="V153" si="136">H153</f>
        <v>1.8615000000000002</v>
      </c>
      <c r="W153" s="142">
        <f t="shared" ref="W153" si="137">I153</f>
        <v>353.685</v>
      </c>
      <c r="Y153" s="561">
        <f t="shared" si="134"/>
        <v>98.736229834254161</v>
      </c>
      <c r="AA153" s="142" t="str">
        <f>$O$153&amp;"_"&amp;Q153&amp;" - "&amp;R153</f>
        <v>jk01_Dybstrøelse (hele arealet) - Dybstrøelse</v>
      </c>
    </row>
    <row r="154" spans="1:27" s="142" customFormat="1" x14ac:dyDescent="0.25">
      <c r="A154" s="169">
        <v>1232</v>
      </c>
      <c r="B154" s="170">
        <v>2</v>
      </c>
      <c r="C154" s="170" t="s">
        <v>36</v>
      </c>
      <c r="D154" s="170" t="s">
        <v>6</v>
      </c>
      <c r="E154" s="165">
        <f>$E$152</f>
        <v>20</v>
      </c>
      <c r="F154" s="168">
        <f>$F$152</f>
        <v>14.2</v>
      </c>
      <c r="G154" s="142">
        <v>1.2</v>
      </c>
      <c r="H154" s="151">
        <f>G154*0.85*365*$H$5</f>
        <v>1.8615000000000002</v>
      </c>
      <c r="I154" s="152">
        <f t="shared" si="116"/>
        <v>353.685</v>
      </c>
      <c r="J154" s="153"/>
      <c r="K154" s="171">
        <f>$K$152</f>
        <v>117.76000000000002</v>
      </c>
      <c r="M154" s="142" t="str">
        <f>C154&amp;" - "&amp;D154</f>
        <v>Dybstrøelse + kort ædeplads med fast gulv - Dybstrøelse</v>
      </c>
      <c r="N154" s="195" t="s">
        <v>207</v>
      </c>
      <c r="O154" s="664" t="s">
        <v>581</v>
      </c>
      <c r="P154" s="663"/>
      <c r="Q154" s="142" t="str">
        <f>C154</f>
        <v>Dybstrøelse + kort ædeplads med fast gulv</v>
      </c>
      <c r="R154" s="142" t="str">
        <f>D154</f>
        <v>Dybstrøelse</v>
      </c>
      <c r="S154" s="561">
        <f t="shared" si="133"/>
        <v>16.769060773480664</v>
      </c>
      <c r="T154" s="561">
        <f t="shared" si="133"/>
        <v>11.906033149171272</v>
      </c>
      <c r="U154" s="142">
        <f t="shared" ref="U154" si="138">G154</f>
        <v>1.2</v>
      </c>
      <c r="V154" s="142">
        <f t="shared" ref="V154" si="139">H154</f>
        <v>1.8615000000000002</v>
      </c>
      <c r="W154" s="142">
        <f t="shared" ref="W154" si="140">I154</f>
        <v>353.685</v>
      </c>
      <c r="Y154" s="561">
        <f t="shared" si="134"/>
        <v>98.736229834254161</v>
      </c>
      <c r="AA154" s="142" t="str">
        <f>$O$153&amp;"_"&amp;Q154&amp;" - "&amp;R154</f>
        <v>jk01_Dybstrøelse + kort ædeplads med fast gulv - Dybstrøelse</v>
      </c>
    </row>
    <row r="155" spans="1:27" s="142" customFormat="1" x14ac:dyDescent="0.25">
      <c r="A155" s="153"/>
      <c r="B155" s="262"/>
      <c r="C155" s="262"/>
      <c r="D155" s="262"/>
      <c r="E155" s="165"/>
      <c r="F155" s="168"/>
      <c r="H155" s="151"/>
      <c r="I155" s="152"/>
      <c r="J155" s="153"/>
      <c r="K155" s="166"/>
      <c r="N155" s="195" t="s">
        <v>210</v>
      </c>
      <c r="O155" s="662"/>
      <c r="P155" s="663"/>
      <c r="S155" s="561"/>
      <c r="T155" s="561"/>
      <c r="Y155" s="561"/>
    </row>
    <row r="156" spans="1:27" s="142" customFormat="1" x14ac:dyDescent="0.25">
      <c r="A156" s="153"/>
      <c r="B156" s="262"/>
      <c r="C156" s="262"/>
      <c r="D156" s="262"/>
      <c r="E156" s="165"/>
      <c r="F156" s="168"/>
      <c r="H156" s="151"/>
      <c r="I156" s="152"/>
      <c r="J156" s="153"/>
      <c r="K156" s="166"/>
      <c r="N156" s="475" t="str">
        <f>C151</f>
        <v>Årsopdræt, 0-6 mdr., småkalv, Jersey</v>
      </c>
      <c r="O156" s="662"/>
      <c r="P156" s="663"/>
      <c r="Q156" s="155" t="s">
        <v>460</v>
      </c>
      <c r="R156" s="261"/>
      <c r="S156" s="561">
        <f t="shared" ref="S156:T158" si="141">E152*$P$157</f>
        <v>20</v>
      </c>
      <c r="T156" s="561">
        <f t="shared" si="141"/>
        <v>14.2</v>
      </c>
      <c r="Y156" s="561">
        <f>K152*$P$157</f>
        <v>117.76000000000002</v>
      </c>
    </row>
    <row r="157" spans="1:27" s="142" customFormat="1" x14ac:dyDescent="0.25">
      <c r="A157" s="153"/>
      <c r="B157" s="262"/>
      <c r="C157" s="262"/>
      <c r="D157" s="262"/>
      <c r="E157" s="165"/>
      <c r="F157" s="168"/>
      <c r="H157" s="151"/>
      <c r="I157" s="152"/>
      <c r="J157" s="153"/>
      <c r="K157" s="166"/>
      <c r="N157" s="195"/>
      <c r="O157" s="662" t="s">
        <v>347</v>
      </c>
      <c r="P157" s="663">
        <v>1</v>
      </c>
      <c r="Q157" s="142" t="str">
        <f>C153</f>
        <v>Dybstrøelse (hele arealet)</v>
      </c>
      <c r="R157" s="142" t="str">
        <f>D153</f>
        <v>Dybstrøelse</v>
      </c>
      <c r="S157" s="561">
        <f t="shared" si="141"/>
        <v>20</v>
      </c>
      <c r="T157" s="561">
        <f t="shared" si="141"/>
        <v>14.2</v>
      </c>
      <c r="U157" s="142">
        <f>G153</f>
        <v>1.2</v>
      </c>
      <c r="V157" s="142">
        <f t="shared" ref="V157:W157" si="142">H153</f>
        <v>1.8615000000000002</v>
      </c>
      <c r="W157" s="142">
        <f t="shared" si="142"/>
        <v>353.685</v>
      </c>
      <c r="Y157" s="561">
        <f>K153*$P$157</f>
        <v>117.76000000000002</v>
      </c>
      <c r="AA157" s="142" t="str">
        <f>$O$157&amp;"_"&amp;Q157&amp;" - "&amp;R157</f>
        <v>jk06_Dybstrøelse (hele arealet) - Dybstrøelse</v>
      </c>
    </row>
    <row r="158" spans="1:27" s="142" customFormat="1" x14ac:dyDescent="0.25">
      <c r="A158" s="153"/>
      <c r="B158" s="262"/>
      <c r="C158" s="262"/>
      <c r="D158" s="262"/>
      <c r="E158" s="165"/>
      <c r="F158" s="168"/>
      <c r="H158" s="151"/>
      <c r="I158" s="152"/>
      <c r="J158" s="153"/>
      <c r="K158" s="166"/>
      <c r="N158" s="195"/>
      <c r="O158" s="662"/>
      <c r="P158" s="663"/>
      <c r="Q158" s="142" t="str">
        <f>C154</f>
        <v>Dybstrøelse + kort ædeplads med fast gulv</v>
      </c>
      <c r="R158" s="142" t="str">
        <f>D154</f>
        <v>Dybstrøelse</v>
      </c>
      <c r="S158" s="561">
        <f t="shared" si="141"/>
        <v>20</v>
      </c>
      <c r="T158" s="561">
        <f t="shared" si="141"/>
        <v>14.2</v>
      </c>
      <c r="U158" s="142">
        <f>G154</f>
        <v>1.2</v>
      </c>
      <c r="V158" s="142">
        <f t="shared" ref="V158" si="143">H154</f>
        <v>1.8615000000000002</v>
      </c>
      <c r="W158" s="142">
        <f t="shared" ref="W158" si="144">I154</f>
        <v>353.685</v>
      </c>
      <c r="Y158" s="561">
        <f>K154*$P$157</f>
        <v>117.76000000000002</v>
      </c>
      <c r="AA158" s="142" t="str">
        <f>$O$157&amp;"_"&amp;Q158&amp;" - "&amp;R158</f>
        <v>jk06_Dybstrøelse + kort ædeplads med fast gulv - Dybstrøelse</v>
      </c>
    </row>
    <row r="159" spans="1:27" s="142" customFormat="1" x14ac:dyDescent="0.25">
      <c r="A159" s="146"/>
      <c r="B159" s="147"/>
      <c r="C159" s="148" t="s">
        <v>44</v>
      </c>
      <c r="D159" s="147"/>
      <c r="E159" s="149"/>
      <c r="F159" s="150"/>
      <c r="H159" s="151"/>
      <c r="I159" s="152"/>
      <c r="J159" s="153"/>
      <c r="K159" s="154"/>
      <c r="N159" s="195"/>
      <c r="O159" s="662" t="s">
        <v>210</v>
      </c>
      <c r="P159" s="663"/>
      <c r="S159" s="236"/>
      <c r="T159" s="236"/>
      <c r="Y159" s="236"/>
    </row>
    <row r="160" spans="1:27" s="142" customFormat="1" x14ac:dyDescent="0.25">
      <c r="A160" s="153"/>
      <c r="C160" s="156" t="s">
        <v>53</v>
      </c>
      <c r="D160" s="157">
        <f>25.4/E160</f>
        <v>0.67018469656992086</v>
      </c>
      <c r="E160" s="158">
        <v>37.9</v>
      </c>
      <c r="F160" s="159">
        <f>E160*D160</f>
        <v>25.4</v>
      </c>
      <c r="H160" s="151"/>
      <c r="I160" s="152"/>
      <c r="J160" s="160">
        <v>4.26</v>
      </c>
      <c r="K160" s="161">
        <f>J160*1000*0.08*0.8</f>
        <v>272.64000000000004</v>
      </c>
      <c r="M160" s="142" t="str">
        <f>C159</f>
        <v xml:space="preserve">Årsopdræt 6 mdr. til kælvning (25 mdr) (kvier og stude), jersey </v>
      </c>
      <c r="N160" s="475" t="str">
        <f>C159</f>
        <v xml:space="preserve">Årsopdræt 6 mdr. til kælvning (25 mdr) (kvier og stude), jersey </v>
      </c>
      <c r="O160" s="662"/>
      <c r="P160" s="663"/>
      <c r="Q160" s="155" t="s">
        <v>461</v>
      </c>
      <c r="R160" s="261"/>
      <c r="S160" s="561">
        <f>E160*$P$161</f>
        <v>29.788233846153847</v>
      </c>
      <c r="T160" s="561">
        <f>F160*$P$161</f>
        <v>19.963618461538463</v>
      </c>
      <c r="Y160" s="561">
        <f>K160*$P$161</f>
        <v>214.28665107692314</v>
      </c>
    </row>
    <row r="161" spans="1:27" s="142" customFormat="1" x14ac:dyDescent="0.25">
      <c r="A161" s="153">
        <v>1233</v>
      </c>
      <c r="B161" s="142">
        <v>1</v>
      </c>
      <c r="C161" s="142" t="s">
        <v>21</v>
      </c>
      <c r="D161" s="162" t="s">
        <v>32</v>
      </c>
      <c r="E161" s="165">
        <f>$E$160*0.6</f>
        <v>22.74</v>
      </c>
      <c r="F161" s="166">
        <f>$F$160*0.6</f>
        <v>15.239999999999998</v>
      </c>
      <c r="G161" s="142">
        <v>0.6</v>
      </c>
      <c r="H161" s="151">
        <f>G161*0.85*365*$H$5</f>
        <v>0.93075000000000008</v>
      </c>
      <c r="I161" s="152">
        <f t="shared" ref="I161:I176" si="145">G161*0.85*(1-0.05)*365</f>
        <v>176.8425</v>
      </c>
      <c r="J161" s="153"/>
      <c r="K161" s="166">
        <f>$K$160*0.6</f>
        <v>163.58400000000003</v>
      </c>
      <c r="M161" s="142" t="str">
        <f>C161&amp;" - "&amp;D161</f>
        <v>Bindestald med grebning - fast gødning</v>
      </c>
      <c r="N161" s="195" t="s">
        <v>205</v>
      </c>
      <c r="O161" s="662" t="s">
        <v>256</v>
      </c>
      <c r="P161" s="663">
        <f>(((6 + 13) * 0.0576) + 1.46) /3.25</f>
        <v>0.78596923076923086</v>
      </c>
      <c r="Q161" s="142" t="str">
        <f>C161</f>
        <v>Bindestald med grebning</v>
      </c>
      <c r="R161" s="142" t="str">
        <f>D161</f>
        <v>fast gødning</v>
      </c>
      <c r="S161" s="561">
        <f>E161*$P$161</f>
        <v>17.872940307692307</v>
      </c>
      <c r="T161" s="561">
        <f>F161*$P$161</f>
        <v>11.978171076923077</v>
      </c>
      <c r="U161" s="142">
        <f t="shared" ref="U161" si="146">G161</f>
        <v>0.6</v>
      </c>
      <c r="V161" s="142">
        <f t="shared" ref="V161" si="147">H161</f>
        <v>0.93075000000000008</v>
      </c>
      <c r="W161" s="142">
        <f t="shared" ref="W161" si="148">I161</f>
        <v>176.8425</v>
      </c>
      <c r="Y161" s="561">
        <f>K161*$P$161</f>
        <v>128.57199064615389</v>
      </c>
      <c r="AA161" s="142" t="str">
        <f>$O$161&amp;"_"&amp;Q161&amp;" - "&amp;R161</f>
        <v>jku18_Bindestald med grebning - fast gødning</v>
      </c>
    </row>
    <row r="162" spans="1:27" s="142" customFormat="1" x14ac:dyDescent="0.25">
      <c r="A162" s="153">
        <v>1233</v>
      </c>
      <c r="B162" s="142">
        <v>1</v>
      </c>
      <c r="C162" s="142" t="s">
        <v>21</v>
      </c>
      <c r="D162" s="162" t="s">
        <v>33</v>
      </c>
      <c r="E162" s="165">
        <f>$E$160*0.4</f>
        <v>15.16</v>
      </c>
      <c r="F162" s="166">
        <f>$F$160*0.4</f>
        <v>10.16</v>
      </c>
      <c r="H162" s="151"/>
      <c r="I162" s="152">
        <f t="shared" si="145"/>
        <v>0</v>
      </c>
      <c r="J162" s="153"/>
      <c r="K162" s="166">
        <f>$K$160*0.4</f>
        <v>109.05600000000003</v>
      </c>
      <c r="M162" s="142" t="str">
        <f t="shared" ref="M162:M176" si="149">C162&amp;" - "&amp;D162</f>
        <v>Bindestald med grebning - ajle</v>
      </c>
      <c r="N162" s="195" t="s">
        <v>209</v>
      </c>
      <c r="O162" s="664" t="s">
        <v>505</v>
      </c>
      <c r="P162" s="663"/>
      <c r="Q162" s="142" t="str">
        <f t="shared" ref="Q162:Q176" si="150">C162</f>
        <v>Bindestald med grebning</v>
      </c>
      <c r="R162" s="142" t="str">
        <f t="shared" ref="R162:R176" si="151">D162</f>
        <v>ajle</v>
      </c>
      <c r="S162" s="561">
        <f t="shared" ref="S162:S176" si="152">E162*$P$161</f>
        <v>11.91529353846154</v>
      </c>
      <c r="T162" s="561">
        <f t="shared" ref="T162:T176" si="153">F162*$P$161</f>
        <v>7.9854473846153855</v>
      </c>
      <c r="U162" s="142">
        <f t="shared" ref="U162:U176" si="154">G162</f>
        <v>0</v>
      </c>
      <c r="V162" s="142">
        <f t="shared" ref="V162:V176" si="155">H162</f>
        <v>0</v>
      </c>
      <c r="W162" s="142">
        <f t="shared" ref="W162:W176" si="156">I162</f>
        <v>0</v>
      </c>
      <c r="Y162" s="561">
        <f t="shared" ref="Y162:Y176" si="157">K162*$P$161</f>
        <v>85.714660430769257</v>
      </c>
      <c r="AA162" s="142" t="str">
        <f t="shared" ref="AA162:AA176" si="158">$O$161&amp;"_"&amp;Q162&amp;" - "&amp;R162</f>
        <v>jku18_Bindestald med grebning - ajle</v>
      </c>
    </row>
    <row r="163" spans="1:27" s="142" customFormat="1" x14ac:dyDescent="0.25">
      <c r="A163" s="153">
        <v>1233</v>
      </c>
      <c r="B163" s="142">
        <v>2</v>
      </c>
      <c r="C163" s="142" t="s">
        <v>22</v>
      </c>
      <c r="D163" s="142" t="s">
        <v>23</v>
      </c>
      <c r="E163" s="165">
        <f t="shared" ref="E163:E169" si="159">$E$160</f>
        <v>37.9</v>
      </c>
      <c r="F163" s="166">
        <f>$F$160</f>
        <v>25.4</v>
      </c>
      <c r="G163" s="142">
        <v>0.6</v>
      </c>
      <c r="H163" s="151">
        <f t="shared" ref="H163:H170" si="160">G163*0.85*365*$H$5</f>
        <v>0.93075000000000008</v>
      </c>
      <c r="I163" s="152">
        <f t="shared" si="145"/>
        <v>176.8425</v>
      </c>
      <c r="J163" s="153"/>
      <c r="K163" s="166">
        <f t="shared" ref="K163:K169" si="161">$K$160</f>
        <v>272.64000000000004</v>
      </c>
      <c r="M163" s="142" t="str">
        <f t="shared" si="149"/>
        <v>Bindestald med riste - gylle</v>
      </c>
      <c r="N163" s="195" t="s">
        <v>210</v>
      </c>
      <c r="O163" s="662" t="s">
        <v>210</v>
      </c>
      <c r="P163" s="663"/>
      <c r="Q163" s="142" t="str">
        <f t="shared" si="150"/>
        <v>Bindestald med riste</v>
      </c>
      <c r="R163" s="142" t="str">
        <f t="shared" si="151"/>
        <v>gylle</v>
      </c>
      <c r="S163" s="561">
        <f t="shared" si="152"/>
        <v>29.788233846153847</v>
      </c>
      <c r="T163" s="561">
        <f t="shared" si="153"/>
        <v>19.963618461538463</v>
      </c>
      <c r="U163" s="142">
        <f t="shared" si="154"/>
        <v>0.6</v>
      </c>
      <c r="V163" s="142">
        <f t="shared" si="155"/>
        <v>0.93075000000000008</v>
      </c>
      <c r="W163" s="142">
        <f t="shared" si="156"/>
        <v>176.8425</v>
      </c>
      <c r="Y163" s="561">
        <f t="shared" si="157"/>
        <v>214.28665107692314</v>
      </c>
      <c r="AA163" s="142" t="str">
        <f t="shared" si="158"/>
        <v>jku18_Bindestald med riste - gylle</v>
      </c>
    </row>
    <row r="164" spans="1:27" s="142" customFormat="1" x14ac:dyDescent="0.25">
      <c r="A164" s="153">
        <v>1233</v>
      </c>
      <c r="B164" s="142">
        <v>3</v>
      </c>
      <c r="C164" s="142" t="s">
        <v>7</v>
      </c>
      <c r="D164" s="142" t="s">
        <v>23</v>
      </c>
      <c r="E164" s="165">
        <f t="shared" si="159"/>
        <v>37.9</v>
      </c>
      <c r="F164" s="166">
        <f>$F$160</f>
        <v>25.4</v>
      </c>
      <c r="G164" s="142">
        <v>0.2</v>
      </c>
      <c r="H164" s="151">
        <f t="shared" si="160"/>
        <v>0.31025000000000003</v>
      </c>
      <c r="I164" s="152">
        <f t="shared" si="145"/>
        <v>58.947500000000005</v>
      </c>
      <c r="J164" s="153"/>
      <c r="K164" s="166">
        <f t="shared" si="161"/>
        <v>272.64000000000004</v>
      </c>
      <c r="M164" s="142" t="str">
        <f t="shared" si="149"/>
        <v>Sengestald med fast gulv - gylle</v>
      </c>
      <c r="N164" s="195" t="s">
        <v>210</v>
      </c>
      <c r="O164" s="662" t="s">
        <v>210</v>
      </c>
      <c r="P164" s="663"/>
      <c r="Q164" s="142" t="str">
        <f t="shared" si="150"/>
        <v>Sengestald med fast gulv</v>
      </c>
      <c r="R164" s="142" t="str">
        <f t="shared" si="151"/>
        <v>gylle</v>
      </c>
      <c r="S164" s="561">
        <f t="shared" si="152"/>
        <v>29.788233846153847</v>
      </c>
      <c r="T164" s="561">
        <f t="shared" si="153"/>
        <v>19.963618461538463</v>
      </c>
      <c r="U164" s="142">
        <f t="shared" si="154"/>
        <v>0.2</v>
      </c>
      <c r="V164" s="142">
        <f t="shared" si="155"/>
        <v>0.31025000000000003</v>
      </c>
      <c r="W164" s="142">
        <f t="shared" si="156"/>
        <v>58.947500000000005</v>
      </c>
      <c r="Y164" s="561">
        <f t="shared" si="157"/>
        <v>214.28665107692314</v>
      </c>
      <c r="AA164" s="142" t="str">
        <f t="shared" si="158"/>
        <v>jku18_Sengestald med fast gulv - gylle</v>
      </c>
    </row>
    <row r="165" spans="1:27" s="142" customFormat="1" x14ac:dyDescent="0.25">
      <c r="A165" s="153">
        <v>1233</v>
      </c>
      <c r="B165" s="142">
        <v>4</v>
      </c>
      <c r="C165" s="142" t="s">
        <v>38</v>
      </c>
      <c r="D165" s="142" t="s">
        <v>23</v>
      </c>
      <c r="E165" s="165">
        <f t="shared" si="159"/>
        <v>37.9</v>
      </c>
      <c r="F165" s="166">
        <f>$F$160</f>
        <v>25.4</v>
      </c>
      <c r="G165" s="142">
        <v>0.2</v>
      </c>
      <c r="H165" s="151">
        <f t="shared" si="160"/>
        <v>0.31025000000000003</v>
      </c>
      <c r="I165" s="152">
        <f t="shared" si="145"/>
        <v>58.947500000000005</v>
      </c>
      <c r="J165" s="153"/>
      <c r="K165" s="166">
        <f t="shared" si="161"/>
        <v>272.64000000000004</v>
      </c>
      <c r="M165" s="142" t="str">
        <f t="shared" si="149"/>
        <v>Sengestald med spaltegulv (kanal, line- spil) - gylle</v>
      </c>
      <c r="N165" s="195" t="s">
        <v>210</v>
      </c>
      <c r="O165" s="662" t="s">
        <v>210</v>
      </c>
      <c r="P165" s="663"/>
      <c r="Q165" s="142" t="str">
        <f t="shared" si="150"/>
        <v>Sengestald med spaltegulv (kanal, line- spil)</v>
      </c>
      <c r="R165" s="142" t="str">
        <f t="shared" si="151"/>
        <v>gylle</v>
      </c>
      <c r="S165" s="561">
        <f t="shared" si="152"/>
        <v>29.788233846153847</v>
      </c>
      <c r="T165" s="561">
        <f t="shared" si="153"/>
        <v>19.963618461538463</v>
      </c>
      <c r="U165" s="142">
        <f t="shared" si="154"/>
        <v>0.2</v>
      </c>
      <c r="V165" s="142">
        <f t="shared" si="155"/>
        <v>0.31025000000000003</v>
      </c>
      <c r="W165" s="142">
        <f t="shared" si="156"/>
        <v>58.947500000000005</v>
      </c>
      <c r="Y165" s="561">
        <f t="shared" si="157"/>
        <v>214.28665107692314</v>
      </c>
      <c r="AA165" s="142" t="str">
        <f t="shared" si="158"/>
        <v>jku18_Sengestald med spaltegulv (kanal, line- spil) - gylle</v>
      </c>
    </row>
    <row r="166" spans="1:27" s="142" customFormat="1" x14ac:dyDescent="0.25">
      <c r="A166" s="153">
        <v>1233</v>
      </c>
      <c r="B166" s="142">
        <v>5</v>
      </c>
      <c r="C166" s="142" t="s">
        <v>39</v>
      </c>
      <c r="D166" s="142" t="s">
        <v>23</v>
      </c>
      <c r="E166" s="165">
        <f t="shared" si="159"/>
        <v>37.9</v>
      </c>
      <c r="F166" s="166">
        <f>$F$160</f>
        <v>25.4</v>
      </c>
      <c r="G166" s="142">
        <v>0.2</v>
      </c>
      <c r="H166" s="151">
        <f t="shared" si="160"/>
        <v>0.31025000000000003</v>
      </c>
      <c r="I166" s="152">
        <f t="shared" si="145"/>
        <v>58.947500000000005</v>
      </c>
      <c r="J166" s="153"/>
      <c r="K166" s="166">
        <f t="shared" si="161"/>
        <v>272.64000000000004</v>
      </c>
      <c r="M166" s="142" t="str">
        <f t="shared" si="149"/>
        <v>Sengestald med spaltegulv (kanal, bagskyl eller ringkanal) - gylle</v>
      </c>
      <c r="N166" s="195" t="s">
        <v>210</v>
      </c>
      <c r="O166" s="662" t="s">
        <v>210</v>
      </c>
      <c r="P166" s="663"/>
      <c r="Q166" s="142" t="str">
        <f t="shared" si="150"/>
        <v>Sengestald med spaltegulv (kanal, bagskyl eller ringkanal)</v>
      </c>
      <c r="R166" s="142" t="str">
        <f t="shared" si="151"/>
        <v>gylle</v>
      </c>
      <c r="S166" s="561">
        <f t="shared" si="152"/>
        <v>29.788233846153847</v>
      </c>
      <c r="T166" s="561">
        <f t="shared" si="153"/>
        <v>19.963618461538463</v>
      </c>
      <c r="U166" s="142">
        <f t="shared" si="154"/>
        <v>0.2</v>
      </c>
      <c r="V166" s="142">
        <f t="shared" si="155"/>
        <v>0.31025000000000003</v>
      </c>
      <c r="W166" s="142">
        <f t="shared" si="156"/>
        <v>58.947500000000005</v>
      </c>
      <c r="Y166" s="561">
        <f t="shared" si="157"/>
        <v>214.28665107692314</v>
      </c>
      <c r="AA166" s="142" t="str">
        <f t="shared" si="158"/>
        <v>jku18_Sengestald med spaltegulv (kanal, bagskyl eller ringkanal) - gylle</v>
      </c>
    </row>
    <row r="167" spans="1:27" s="142" customFormat="1" x14ac:dyDescent="0.25">
      <c r="A167" s="153">
        <v>1233</v>
      </c>
      <c r="B167" s="142">
        <v>16</v>
      </c>
      <c r="C167" s="142" t="s">
        <v>42</v>
      </c>
      <c r="D167" s="142" t="s">
        <v>23</v>
      </c>
      <c r="E167" s="165">
        <f t="shared" si="159"/>
        <v>37.9</v>
      </c>
      <c r="F167" s="166">
        <f>$F$160</f>
        <v>25.4</v>
      </c>
      <c r="G167" s="142">
        <v>0.2</v>
      </c>
      <c r="H167" s="151">
        <f t="shared" si="160"/>
        <v>0.31025000000000003</v>
      </c>
      <c r="I167" s="152">
        <f t="shared" si="145"/>
        <v>58.947500000000005</v>
      </c>
      <c r="J167" s="153"/>
      <c r="K167" s="166">
        <f t="shared" si="161"/>
        <v>272.64000000000004</v>
      </c>
      <c r="M167" s="142" t="str">
        <f t="shared" si="149"/>
        <v>Sengestald, fast drænet gulv med skra- ber og ajleafløb *) - gylle</v>
      </c>
      <c r="N167" s="195" t="s">
        <v>210</v>
      </c>
      <c r="O167" s="662" t="s">
        <v>210</v>
      </c>
      <c r="P167" s="663"/>
      <c r="Q167" s="142" t="str">
        <f t="shared" si="150"/>
        <v>Sengestald, fast drænet gulv med skra- ber og ajleafløb *)</v>
      </c>
      <c r="R167" s="142" t="str">
        <f t="shared" si="151"/>
        <v>gylle</v>
      </c>
      <c r="S167" s="561">
        <f t="shared" si="152"/>
        <v>29.788233846153847</v>
      </c>
      <c r="T167" s="561">
        <f t="shared" si="153"/>
        <v>19.963618461538463</v>
      </c>
      <c r="U167" s="142">
        <f t="shared" si="154"/>
        <v>0.2</v>
      </c>
      <c r="V167" s="142">
        <f t="shared" si="155"/>
        <v>0.31025000000000003</v>
      </c>
      <c r="W167" s="142">
        <f t="shared" si="156"/>
        <v>58.947500000000005</v>
      </c>
      <c r="Y167" s="561">
        <f t="shared" si="157"/>
        <v>214.28665107692314</v>
      </c>
      <c r="AA167" s="142" t="str">
        <f t="shared" si="158"/>
        <v>jku18_Sengestald, fast drænet gulv med skra- ber og ajleafløb *) - gylle</v>
      </c>
    </row>
    <row r="168" spans="1:27" s="142" customFormat="1" x14ac:dyDescent="0.25">
      <c r="A168" s="153">
        <v>1233</v>
      </c>
      <c r="B168" s="142">
        <v>6</v>
      </c>
      <c r="C168" s="142" t="s">
        <v>40</v>
      </c>
      <c r="D168" s="142" t="s">
        <v>27</v>
      </c>
      <c r="E168" s="165">
        <f t="shared" si="159"/>
        <v>37.9</v>
      </c>
      <c r="F168" s="166"/>
      <c r="G168" s="142">
        <v>5</v>
      </c>
      <c r="H168" s="151">
        <f t="shared" si="160"/>
        <v>7.7562500000000005</v>
      </c>
      <c r="I168" s="152">
        <f t="shared" si="145"/>
        <v>1473.6874999999998</v>
      </c>
      <c r="J168" s="153"/>
      <c r="K168" s="166">
        <f t="shared" si="161"/>
        <v>272.64000000000004</v>
      </c>
      <c r="M168" s="142" t="str">
        <f t="shared" si="149"/>
        <v>Dybstrøelse, hele arealet - dybstrøelse</v>
      </c>
      <c r="N168" s="195" t="s">
        <v>210</v>
      </c>
      <c r="O168" s="662" t="s">
        <v>210</v>
      </c>
      <c r="P168" s="663"/>
      <c r="Q168" s="142" t="str">
        <f t="shared" si="150"/>
        <v>Dybstrøelse, hele arealet</v>
      </c>
      <c r="R168" s="142" t="str">
        <f t="shared" si="151"/>
        <v>dybstrøelse</v>
      </c>
      <c r="S168" s="561">
        <f t="shared" si="152"/>
        <v>29.788233846153847</v>
      </c>
      <c r="T168" s="561">
        <f t="shared" si="153"/>
        <v>0</v>
      </c>
      <c r="U168" s="142">
        <f t="shared" si="154"/>
        <v>5</v>
      </c>
      <c r="V168" s="142">
        <f t="shared" si="155"/>
        <v>7.7562500000000005</v>
      </c>
      <c r="W168" s="142">
        <f t="shared" si="156"/>
        <v>1473.6874999999998</v>
      </c>
      <c r="Y168" s="561">
        <f t="shared" si="157"/>
        <v>214.28665107692314</v>
      </c>
      <c r="AA168" s="142" t="str">
        <f t="shared" si="158"/>
        <v>jku18_Dybstrøelse, hele arealet - dybstrøelse</v>
      </c>
    </row>
    <row r="169" spans="1:27" s="142" customFormat="1" x14ac:dyDescent="0.25">
      <c r="A169" s="153">
        <v>1233</v>
      </c>
      <c r="B169" s="142">
        <v>7</v>
      </c>
      <c r="C169" s="142" t="s">
        <v>36</v>
      </c>
      <c r="D169" s="162" t="s">
        <v>27</v>
      </c>
      <c r="E169" s="165">
        <f t="shared" si="159"/>
        <v>37.9</v>
      </c>
      <c r="F169" s="166"/>
      <c r="G169" s="142">
        <v>4</v>
      </c>
      <c r="H169" s="151">
        <f t="shared" si="160"/>
        <v>6.2050000000000001</v>
      </c>
      <c r="I169" s="152">
        <f t="shared" si="145"/>
        <v>1178.95</v>
      </c>
      <c r="J169" s="153"/>
      <c r="K169" s="166">
        <f t="shared" si="161"/>
        <v>272.64000000000004</v>
      </c>
      <c r="M169" s="142" t="str">
        <f t="shared" si="149"/>
        <v>Dybstrøelse + kort ædeplads med fast gulv - dybstrøelse</v>
      </c>
      <c r="N169" s="195" t="s">
        <v>210</v>
      </c>
      <c r="O169" s="662" t="s">
        <v>210</v>
      </c>
      <c r="P169" s="663"/>
      <c r="Q169" s="142" t="str">
        <f t="shared" si="150"/>
        <v>Dybstrøelse + kort ædeplads med fast gulv</v>
      </c>
      <c r="R169" s="142" t="str">
        <f t="shared" si="151"/>
        <v>dybstrøelse</v>
      </c>
      <c r="S169" s="561">
        <f t="shared" si="152"/>
        <v>29.788233846153847</v>
      </c>
      <c r="T169" s="561">
        <f t="shared" si="153"/>
        <v>0</v>
      </c>
      <c r="U169" s="142">
        <f t="shared" si="154"/>
        <v>4</v>
      </c>
      <c r="V169" s="142">
        <f t="shared" si="155"/>
        <v>6.2050000000000001</v>
      </c>
      <c r="W169" s="142">
        <f t="shared" si="156"/>
        <v>1178.95</v>
      </c>
      <c r="Y169" s="561">
        <f t="shared" si="157"/>
        <v>214.28665107692314</v>
      </c>
      <c r="AA169" s="142" t="str">
        <f t="shared" si="158"/>
        <v>jku18_Dybstrøelse + kort ædeplads med fast gulv - dybstrøelse</v>
      </c>
    </row>
    <row r="170" spans="1:27" s="142" customFormat="1" x14ac:dyDescent="0.25">
      <c r="A170" s="153">
        <v>1233</v>
      </c>
      <c r="B170" s="142">
        <v>8</v>
      </c>
      <c r="C170" s="142" t="s">
        <v>28</v>
      </c>
      <c r="D170" s="162" t="s">
        <v>27</v>
      </c>
      <c r="E170" s="165">
        <f>$E$160*0.6</f>
        <v>22.74</v>
      </c>
      <c r="F170" s="166"/>
      <c r="G170" s="142">
        <v>4</v>
      </c>
      <c r="H170" s="151">
        <f t="shared" si="160"/>
        <v>6.2050000000000001</v>
      </c>
      <c r="I170" s="152">
        <f t="shared" si="145"/>
        <v>1178.95</v>
      </c>
      <c r="J170" s="153"/>
      <c r="K170" s="166">
        <f>$K$160*0.6</f>
        <v>163.58400000000003</v>
      </c>
      <c r="M170" s="142" t="str">
        <f t="shared" si="149"/>
        <v>Dybstrøelse, lang ædeplads med fast gulv - dybstrøelse</v>
      </c>
      <c r="N170" s="195" t="s">
        <v>210</v>
      </c>
      <c r="O170" s="662" t="s">
        <v>210</v>
      </c>
      <c r="P170" s="663"/>
      <c r="Q170" s="142" t="str">
        <f t="shared" si="150"/>
        <v>Dybstrøelse, lang ædeplads med fast gulv</v>
      </c>
      <c r="R170" s="142" t="str">
        <f t="shared" si="151"/>
        <v>dybstrøelse</v>
      </c>
      <c r="S170" s="561">
        <f t="shared" si="152"/>
        <v>17.872940307692307</v>
      </c>
      <c r="T170" s="561">
        <f t="shared" si="153"/>
        <v>0</v>
      </c>
      <c r="U170" s="142">
        <f t="shared" si="154"/>
        <v>4</v>
      </c>
      <c r="V170" s="142">
        <f t="shared" si="155"/>
        <v>6.2050000000000001</v>
      </c>
      <c r="W170" s="142">
        <f t="shared" si="156"/>
        <v>1178.95</v>
      </c>
      <c r="Y170" s="561">
        <f t="shared" si="157"/>
        <v>128.57199064615389</v>
      </c>
      <c r="AA170" s="142" t="str">
        <f t="shared" si="158"/>
        <v>jku18_Dybstrøelse, lang ædeplads med fast gulv - dybstrøelse</v>
      </c>
    </row>
    <row r="171" spans="1:27" s="142" customFormat="1" x14ac:dyDescent="0.25">
      <c r="A171" s="153">
        <v>1233</v>
      </c>
      <c r="B171" s="142">
        <v>8</v>
      </c>
      <c r="C171" s="142" t="s">
        <v>28</v>
      </c>
      <c r="D171" s="162" t="s">
        <v>23</v>
      </c>
      <c r="E171" s="165">
        <f>$E$160*0.4</f>
        <v>15.16</v>
      </c>
      <c r="F171" s="166">
        <f>$F$160*0.4</f>
        <v>10.16</v>
      </c>
      <c r="H171" s="151"/>
      <c r="I171" s="152">
        <f t="shared" si="145"/>
        <v>0</v>
      </c>
      <c r="J171" s="153"/>
      <c r="K171" s="166">
        <f>$K$160*0.4</f>
        <v>109.05600000000003</v>
      </c>
      <c r="M171" s="142" t="str">
        <f t="shared" si="149"/>
        <v>Dybstrøelse, lang ædeplads med fast gulv - gylle</v>
      </c>
      <c r="N171" s="195" t="s">
        <v>210</v>
      </c>
      <c r="O171" s="662" t="s">
        <v>210</v>
      </c>
      <c r="P171" s="663"/>
      <c r="Q171" s="142" t="str">
        <f t="shared" si="150"/>
        <v>Dybstrøelse, lang ædeplads med fast gulv</v>
      </c>
      <c r="R171" s="142" t="str">
        <f t="shared" si="151"/>
        <v>gylle</v>
      </c>
      <c r="S171" s="561">
        <f t="shared" si="152"/>
        <v>11.91529353846154</v>
      </c>
      <c r="T171" s="561">
        <f t="shared" si="153"/>
        <v>7.9854473846153855</v>
      </c>
      <c r="U171" s="142">
        <f t="shared" si="154"/>
        <v>0</v>
      </c>
      <c r="V171" s="142">
        <f t="shared" si="155"/>
        <v>0</v>
      </c>
      <c r="W171" s="142">
        <f t="shared" si="156"/>
        <v>0</v>
      </c>
      <c r="Y171" s="561">
        <f t="shared" si="157"/>
        <v>85.714660430769257</v>
      </c>
      <c r="AA171" s="142" t="str">
        <f t="shared" si="158"/>
        <v>jku18_Dybstrøelse, lang ædeplads med fast gulv - gylle</v>
      </c>
    </row>
    <row r="172" spans="1:27" s="142" customFormat="1" x14ac:dyDescent="0.25">
      <c r="A172" s="153">
        <v>1233</v>
      </c>
      <c r="B172" s="142">
        <v>9</v>
      </c>
      <c r="C172" s="142" t="s">
        <v>29</v>
      </c>
      <c r="D172" s="162" t="s">
        <v>27</v>
      </c>
      <c r="E172" s="165">
        <f>$E$160*0.6</f>
        <v>22.74</v>
      </c>
      <c r="F172" s="166"/>
      <c r="G172" s="142">
        <v>4</v>
      </c>
      <c r="H172" s="151">
        <f>G172*0.85*365*$H$5</f>
        <v>6.2050000000000001</v>
      </c>
      <c r="I172" s="152">
        <f t="shared" si="145"/>
        <v>1178.95</v>
      </c>
      <c r="J172" s="153"/>
      <c r="K172" s="166">
        <f>$K$160*0.6</f>
        <v>163.58400000000003</v>
      </c>
      <c r="M172" s="142" t="str">
        <f t="shared" si="149"/>
        <v>Dybstrøelse, lang ædeplads med spalter (kanal, linespil) - dybstrøelse</v>
      </c>
      <c r="N172" s="195" t="s">
        <v>210</v>
      </c>
      <c r="O172" s="662" t="s">
        <v>210</v>
      </c>
      <c r="P172" s="663"/>
      <c r="Q172" s="142" t="str">
        <f t="shared" si="150"/>
        <v>Dybstrøelse, lang ædeplads med spalter (kanal, linespil)</v>
      </c>
      <c r="R172" s="142" t="str">
        <f t="shared" si="151"/>
        <v>dybstrøelse</v>
      </c>
      <c r="S172" s="561">
        <f t="shared" si="152"/>
        <v>17.872940307692307</v>
      </c>
      <c r="T172" s="561">
        <f t="shared" si="153"/>
        <v>0</v>
      </c>
      <c r="U172" s="142">
        <f t="shared" si="154"/>
        <v>4</v>
      </c>
      <c r="V172" s="142">
        <f t="shared" si="155"/>
        <v>6.2050000000000001</v>
      </c>
      <c r="W172" s="142">
        <f t="shared" si="156"/>
        <v>1178.95</v>
      </c>
      <c r="Y172" s="561">
        <f t="shared" si="157"/>
        <v>128.57199064615389</v>
      </c>
      <c r="AA172" s="142" t="str">
        <f t="shared" si="158"/>
        <v>jku18_Dybstrøelse, lang ædeplads med spalter (kanal, linespil) - dybstrøelse</v>
      </c>
    </row>
    <row r="173" spans="1:27" s="142" customFormat="1" x14ac:dyDescent="0.25">
      <c r="A173" s="153">
        <v>1233</v>
      </c>
      <c r="B173" s="142">
        <v>9</v>
      </c>
      <c r="C173" s="142" t="s">
        <v>29</v>
      </c>
      <c r="D173" s="162" t="s">
        <v>23</v>
      </c>
      <c r="E173" s="165">
        <f>$E$160*0.4</f>
        <v>15.16</v>
      </c>
      <c r="F173" s="166">
        <f>$F$160*0.4</f>
        <v>10.16</v>
      </c>
      <c r="H173" s="151"/>
      <c r="I173" s="152">
        <f t="shared" si="145"/>
        <v>0</v>
      </c>
      <c r="J173" s="153"/>
      <c r="K173" s="166">
        <f>$K$160*0.4</f>
        <v>109.05600000000003</v>
      </c>
      <c r="M173" s="142" t="str">
        <f t="shared" si="149"/>
        <v>Dybstrøelse, lang ædeplads med spalter (kanal, linespil) - gylle</v>
      </c>
      <c r="N173" s="195" t="s">
        <v>210</v>
      </c>
      <c r="O173" s="662" t="s">
        <v>210</v>
      </c>
      <c r="P173" s="663"/>
      <c r="Q173" s="142" t="str">
        <f t="shared" si="150"/>
        <v>Dybstrøelse, lang ædeplads med spalter (kanal, linespil)</v>
      </c>
      <c r="R173" s="142" t="str">
        <f t="shared" si="151"/>
        <v>gylle</v>
      </c>
      <c r="S173" s="561">
        <f t="shared" si="152"/>
        <v>11.91529353846154</v>
      </c>
      <c r="T173" s="561">
        <f t="shared" si="153"/>
        <v>7.9854473846153855</v>
      </c>
      <c r="U173" s="142">
        <f t="shared" si="154"/>
        <v>0</v>
      </c>
      <c r="V173" s="142">
        <f t="shared" si="155"/>
        <v>0</v>
      </c>
      <c r="W173" s="142">
        <f t="shared" si="156"/>
        <v>0</v>
      </c>
      <c r="Y173" s="561">
        <f t="shared" si="157"/>
        <v>85.714660430769257</v>
      </c>
      <c r="AA173" s="142" t="str">
        <f t="shared" si="158"/>
        <v>jku18_Dybstrøelse, lang ædeplads med spalter (kanal, linespil) - gylle</v>
      </c>
    </row>
    <row r="174" spans="1:27" s="142" customFormat="1" x14ac:dyDescent="0.25">
      <c r="A174" s="153">
        <v>1233</v>
      </c>
      <c r="B174" s="142">
        <v>10</v>
      </c>
      <c r="C174" s="142" t="s">
        <v>30</v>
      </c>
      <c r="D174" s="162" t="s">
        <v>27</v>
      </c>
      <c r="E174" s="165">
        <f>$E$160*0.6</f>
        <v>22.74</v>
      </c>
      <c r="F174" s="166"/>
      <c r="G174" s="142">
        <v>4</v>
      </c>
      <c r="H174" s="151">
        <f>G174*0.85*365*$H$5</f>
        <v>6.2050000000000001</v>
      </c>
      <c r="I174" s="152">
        <f t="shared" si="145"/>
        <v>1178.95</v>
      </c>
      <c r="J174" s="153"/>
      <c r="K174" s="166">
        <f>$K$160*0.6</f>
        <v>163.58400000000003</v>
      </c>
      <c r="M174" s="142" t="str">
        <f t="shared" si="149"/>
        <v>Dybstrøelse, lang ædeplads med spalter (kanal, bagskyl eller ringkanal) - dybstrøelse</v>
      </c>
      <c r="N174" s="195" t="s">
        <v>210</v>
      </c>
      <c r="O174" s="662" t="s">
        <v>210</v>
      </c>
      <c r="P174" s="663"/>
      <c r="Q174" s="142" t="str">
        <f t="shared" si="150"/>
        <v>Dybstrøelse, lang ædeplads med spalter (kanal, bagskyl eller ringkanal)</v>
      </c>
      <c r="R174" s="142" t="str">
        <f t="shared" si="151"/>
        <v>dybstrøelse</v>
      </c>
      <c r="S174" s="561">
        <f t="shared" si="152"/>
        <v>17.872940307692307</v>
      </c>
      <c r="T174" s="561">
        <f t="shared" si="153"/>
        <v>0</v>
      </c>
      <c r="U174" s="142">
        <f t="shared" si="154"/>
        <v>4</v>
      </c>
      <c r="V174" s="142">
        <f t="shared" si="155"/>
        <v>6.2050000000000001</v>
      </c>
      <c r="W174" s="142">
        <f t="shared" si="156"/>
        <v>1178.95</v>
      </c>
      <c r="Y174" s="561">
        <f t="shared" si="157"/>
        <v>128.57199064615389</v>
      </c>
      <c r="AA174" s="142" t="str">
        <f t="shared" si="158"/>
        <v>jku18_Dybstrøelse, lang ædeplads med spalter (kanal, bagskyl eller ringkanal) - dybstrøelse</v>
      </c>
    </row>
    <row r="175" spans="1:27" s="142" customFormat="1" x14ac:dyDescent="0.25">
      <c r="A175" s="153">
        <v>1233</v>
      </c>
      <c r="B175" s="142">
        <v>10</v>
      </c>
      <c r="C175" s="142" t="s">
        <v>30</v>
      </c>
      <c r="D175" s="162" t="s">
        <v>23</v>
      </c>
      <c r="E175" s="165">
        <f>$E$160*0.4</f>
        <v>15.16</v>
      </c>
      <c r="F175" s="166">
        <f>$F$160*0.4</f>
        <v>10.16</v>
      </c>
      <c r="H175" s="151"/>
      <c r="I175" s="152">
        <f t="shared" si="145"/>
        <v>0</v>
      </c>
      <c r="J175" s="153"/>
      <c r="K175" s="166">
        <f>$K$160*0.4</f>
        <v>109.05600000000003</v>
      </c>
      <c r="M175" s="142" t="str">
        <f t="shared" si="149"/>
        <v>Dybstrøelse, lang ædeplads med spalter (kanal, bagskyl eller ringkanal) - gylle</v>
      </c>
      <c r="N175" s="195" t="s">
        <v>210</v>
      </c>
      <c r="O175" s="662" t="s">
        <v>210</v>
      </c>
      <c r="P175" s="663"/>
      <c r="Q175" s="142" t="str">
        <f t="shared" si="150"/>
        <v>Dybstrøelse, lang ædeplads med spalter (kanal, bagskyl eller ringkanal)</v>
      </c>
      <c r="R175" s="142" t="str">
        <f t="shared" si="151"/>
        <v>gylle</v>
      </c>
      <c r="S175" s="561">
        <f t="shared" si="152"/>
        <v>11.91529353846154</v>
      </c>
      <c r="T175" s="561">
        <f t="shared" si="153"/>
        <v>7.9854473846153855</v>
      </c>
      <c r="U175" s="142">
        <f t="shared" si="154"/>
        <v>0</v>
      </c>
      <c r="V175" s="142">
        <f t="shared" si="155"/>
        <v>0</v>
      </c>
      <c r="W175" s="142">
        <f t="shared" si="156"/>
        <v>0</v>
      </c>
      <c r="Y175" s="561">
        <f t="shared" si="157"/>
        <v>85.714660430769257</v>
      </c>
      <c r="AA175" s="142" t="str">
        <f t="shared" si="158"/>
        <v>jku18_Dybstrøelse, lang ædeplads med spalter (kanal, bagskyl eller ringkanal) - gylle</v>
      </c>
    </row>
    <row r="176" spans="1:27" s="142" customFormat="1" x14ac:dyDescent="0.25">
      <c r="A176" s="153">
        <v>1233</v>
      </c>
      <c r="B176" s="170">
        <v>12</v>
      </c>
      <c r="C176" s="170" t="s">
        <v>41</v>
      </c>
      <c r="D176" s="172" t="s">
        <v>23</v>
      </c>
      <c r="E176" s="165">
        <f>$E$160</f>
        <v>37.9</v>
      </c>
      <c r="F176" s="171">
        <f>$F$160</f>
        <v>25.4</v>
      </c>
      <c r="H176" s="151"/>
      <c r="I176" s="152">
        <f t="shared" si="145"/>
        <v>0</v>
      </c>
      <c r="J176" s="153"/>
      <c r="K176" s="171">
        <f>$K$160</f>
        <v>272.64000000000004</v>
      </c>
      <c r="M176" s="142" t="str">
        <f t="shared" si="149"/>
        <v>Spaltegulvbokse - gylle</v>
      </c>
      <c r="N176" s="195" t="s">
        <v>210</v>
      </c>
      <c r="O176" s="662" t="s">
        <v>210</v>
      </c>
      <c r="P176" s="663"/>
      <c r="Q176" s="142" t="str">
        <f t="shared" si="150"/>
        <v>Spaltegulvbokse</v>
      </c>
      <c r="R176" s="142" t="str">
        <f t="shared" si="151"/>
        <v>gylle</v>
      </c>
      <c r="S176" s="561">
        <f t="shared" si="152"/>
        <v>29.788233846153847</v>
      </c>
      <c r="T176" s="561">
        <f t="shared" si="153"/>
        <v>19.963618461538463</v>
      </c>
      <c r="U176" s="142">
        <f t="shared" si="154"/>
        <v>0</v>
      </c>
      <c r="V176" s="142">
        <f t="shared" si="155"/>
        <v>0</v>
      </c>
      <c r="W176" s="142">
        <f t="shared" si="156"/>
        <v>0</v>
      </c>
      <c r="Y176" s="561">
        <f t="shared" si="157"/>
        <v>214.28665107692314</v>
      </c>
      <c r="AA176" s="142" t="str">
        <f t="shared" si="158"/>
        <v>jku18_Spaltegulvbokse - gylle</v>
      </c>
    </row>
    <row r="177" spans="1:27" s="142" customFormat="1" x14ac:dyDescent="0.25">
      <c r="A177" s="153"/>
      <c r="B177" s="262"/>
      <c r="C177" s="262"/>
      <c r="D177" s="263"/>
      <c r="E177" s="165"/>
      <c r="F177" s="166"/>
      <c r="H177" s="151"/>
      <c r="I177" s="152"/>
      <c r="J177" s="153"/>
      <c r="K177" s="166"/>
      <c r="N177" s="195" t="s">
        <v>210</v>
      </c>
      <c r="O177" s="662"/>
      <c r="P177" s="663"/>
      <c r="S177" s="561"/>
      <c r="T177" s="561"/>
      <c r="Y177" s="561"/>
    </row>
    <row r="178" spans="1:27" s="142" customFormat="1" x14ac:dyDescent="0.25">
      <c r="A178" s="153"/>
      <c r="B178" s="262"/>
      <c r="C178" s="262"/>
      <c r="D178" s="263"/>
      <c r="E178" s="165"/>
      <c r="F178" s="166"/>
      <c r="H178" s="151"/>
      <c r="I178" s="152"/>
      <c r="J178" s="153"/>
      <c r="K178" s="166"/>
      <c r="N178" s="475" t="str">
        <f>C159</f>
        <v xml:space="preserve">Årsopdræt 6 mdr. til kælvning (25 mdr) (kvier og stude), jersey </v>
      </c>
      <c r="O178" s="662"/>
      <c r="P178" s="663"/>
      <c r="Q178" s="155" t="s">
        <v>462</v>
      </c>
      <c r="R178" s="261"/>
      <c r="S178" s="561">
        <f>E160*$P$179</f>
        <v>37.311325538461539</v>
      </c>
      <c r="T178" s="561">
        <f>F160*$P$179</f>
        <v>25.005479384615381</v>
      </c>
      <c r="Y178" s="561">
        <f>K160*$P$179</f>
        <v>268.40527163076928</v>
      </c>
    </row>
    <row r="179" spans="1:27" s="142" customFormat="1" x14ac:dyDescent="0.25">
      <c r="A179" s="153"/>
      <c r="B179" s="262"/>
      <c r="C179" s="262"/>
      <c r="D179" s="263"/>
      <c r="E179" s="165"/>
      <c r="F179" s="166"/>
      <c r="H179" s="151"/>
      <c r="I179" s="152"/>
      <c r="J179" s="153"/>
      <c r="K179" s="166"/>
      <c r="N179" s="195" t="s">
        <v>205</v>
      </c>
      <c r="O179" s="662" t="s">
        <v>259</v>
      </c>
      <c r="P179" s="663">
        <f>(((6 + 24.2) * 0.0576) + 1.46) /3.25</f>
        <v>0.98446769230769227</v>
      </c>
      <c r="Q179" s="142" t="str">
        <f>C161</f>
        <v>Bindestald med grebning</v>
      </c>
      <c r="R179" s="142" t="str">
        <f>D161</f>
        <v>fast gødning</v>
      </c>
      <c r="S179" s="561">
        <f t="shared" ref="S179:T179" si="162">E161*$P$179</f>
        <v>22.386795323076921</v>
      </c>
      <c r="T179" s="561">
        <f t="shared" si="162"/>
        <v>15.003287630769229</v>
      </c>
      <c r="U179" s="142">
        <f>G161</f>
        <v>0.6</v>
      </c>
      <c r="V179" s="142">
        <f t="shared" ref="V179:W179" si="163">H161</f>
        <v>0.93075000000000008</v>
      </c>
      <c r="W179" s="142">
        <f t="shared" si="163"/>
        <v>176.8425</v>
      </c>
      <c r="Y179" s="561">
        <f t="shared" ref="Y179:Y194" si="164">K161*$P$179</f>
        <v>161.04316297846157</v>
      </c>
      <c r="AA179" s="142" t="str">
        <f>$O$179&amp;"_"&amp;Q179&amp;" - "&amp;R179</f>
        <v>jko18_Bindestald med grebning - fast gødning</v>
      </c>
    </row>
    <row r="180" spans="1:27" s="142" customFormat="1" x14ac:dyDescent="0.25">
      <c r="A180" s="153"/>
      <c r="B180" s="262"/>
      <c r="C180" s="262"/>
      <c r="D180" s="263"/>
      <c r="E180" s="165"/>
      <c r="F180" s="166"/>
      <c r="H180" s="151"/>
      <c r="I180" s="152"/>
      <c r="J180" s="153"/>
      <c r="K180" s="166"/>
      <c r="N180" s="195" t="s">
        <v>209</v>
      </c>
      <c r="O180" s="664" t="s">
        <v>412</v>
      </c>
      <c r="P180" s="663"/>
      <c r="Q180" s="142" t="str">
        <f t="shared" ref="Q180:R180" si="165">C162</f>
        <v>Bindestald med grebning</v>
      </c>
      <c r="R180" s="142" t="str">
        <f t="shared" si="165"/>
        <v>ajle</v>
      </c>
      <c r="S180" s="561">
        <f t="shared" ref="S180:T180" si="166">E162*$P$179</f>
        <v>14.924530215384616</v>
      </c>
      <c r="T180" s="561">
        <f t="shared" si="166"/>
        <v>10.002191753846153</v>
      </c>
      <c r="U180" s="142">
        <f t="shared" ref="U180:U194" si="167">G162</f>
        <v>0</v>
      </c>
      <c r="V180" s="142">
        <f t="shared" ref="V180:V194" si="168">H162</f>
        <v>0</v>
      </c>
      <c r="W180" s="142">
        <f t="shared" ref="W180:W194" si="169">I162</f>
        <v>0</v>
      </c>
      <c r="Y180" s="561">
        <f t="shared" si="164"/>
        <v>107.36210865230771</v>
      </c>
      <c r="AA180" s="142" t="str">
        <f t="shared" ref="AA180:AA194" si="170">$O$179&amp;"_"&amp;Q180&amp;" - "&amp;R180</f>
        <v>jko18_Bindestald med grebning - ajle</v>
      </c>
    </row>
    <row r="181" spans="1:27" s="142" customFormat="1" x14ac:dyDescent="0.25">
      <c r="A181" s="153"/>
      <c r="B181" s="262"/>
      <c r="C181" s="262"/>
      <c r="D181" s="263"/>
      <c r="E181" s="165"/>
      <c r="F181" s="166"/>
      <c r="H181" s="151"/>
      <c r="I181" s="152"/>
      <c r="J181" s="153"/>
      <c r="K181" s="166"/>
      <c r="N181" s="195"/>
      <c r="O181" s="662"/>
      <c r="P181" s="663"/>
      <c r="Q181" s="142" t="str">
        <f t="shared" ref="Q181:R181" si="171">C163</f>
        <v>Bindestald med riste</v>
      </c>
      <c r="R181" s="142" t="str">
        <f t="shared" si="171"/>
        <v>gylle</v>
      </c>
      <c r="S181" s="561">
        <f t="shared" ref="S181:T181" si="172">E163*$P$179</f>
        <v>37.311325538461539</v>
      </c>
      <c r="T181" s="561">
        <f t="shared" si="172"/>
        <v>25.005479384615381</v>
      </c>
      <c r="U181" s="142">
        <f t="shared" si="167"/>
        <v>0.6</v>
      </c>
      <c r="V181" s="142">
        <f t="shared" si="168"/>
        <v>0.93075000000000008</v>
      </c>
      <c r="W181" s="142">
        <f t="shared" si="169"/>
        <v>176.8425</v>
      </c>
      <c r="Y181" s="561">
        <f t="shared" si="164"/>
        <v>268.40527163076928</v>
      </c>
      <c r="AA181" s="142" t="str">
        <f t="shared" si="170"/>
        <v>jko18_Bindestald med riste - gylle</v>
      </c>
    </row>
    <row r="182" spans="1:27" s="142" customFormat="1" x14ac:dyDescent="0.25">
      <c r="A182" s="153"/>
      <c r="B182" s="262"/>
      <c r="C182" s="262"/>
      <c r="D182" s="263"/>
      <c r="E182" s="165"/>
      <c r="F182" s="166"/>
      <c r="H182" s="151"/>
      <c r="I182" s="152"/>
      <c r="J182" s="153"/>
      <c r="K182" s="166"/>
      <c r="N182" s="195"/>
      <c r="O182" s="662"/>
      <c r="P182" s="663"/>
      <c r="Q182" s="142" t="str">
        <f t="shared" ref="Q182:R182" si="173">C164</f>
        <v>Sengestald med fast gulv</v>
      </c>
      <c r="R182" s="142" t="str">
        <f t="shared" si="173"/>
        <v>gylle</v>
      </c>
      <c r="S182" s="561">
        <f t="shared" ref="S182:T182" si="174">E164*$P$179</f>
        <v>37.311325538461539</v>
      </c>
      <c r="T182" s="561">
        <f t="shared" si="174"/>
        <v>25.005479384615381</v>
      </c>
      <c r="U182" s="142">
        <f t="shared" si="167"/>
        <v>0.2</v>
      </c>
      <c r="V182" s="142">
        <f t="shared" si="168"/>
        <v>0.31025000000000003</v>
      </c>
      <c r="W182" s="142">
        <f t="shared" si="169"/>
        <v>58.947500000000005</v>
      </c>
      <c r="Y182" s="561">
        <f t="shared" si="164"/>
        <v>268.40527163076928</v>
      </c>
      <c r="AA182" s="142" t="str">
        <f t="shared" si="170"/>
        <v>jko18_Sengestald med fast gulv - gylle</v>
      </c>
    </row>
    <row r="183" spans="1:27" s="142" customFormat="1" x14ac:dyDescent="0.25">
      <c r="A183" s="153"/>
      <c r="B183" s="262"/>
      <c r="C183" s="262"/>
      <c r="D183" s="263"/>
      <c r="E183" s="165"/>
      <c r="F183" s="166"/>
      <c r="H183" s="151"/>
      <c r="I183" s="152"/>
      <c r="J183" s="153"/>
      <c r="K183" s="166"/>
      <c r="N183" s="195"/>
      <c r="O183" s="662"/>
      <c r="P183" s="663"/>
      <c r="Q183" s="142" t="str">
        <f t="shared" ref="Q183:R183" si="175">C165</f>
        <v>Sengestald med spaltegulv (kanal, line- spil)</v>
      </c>
      <c r="R183" s="142" t="str">
        <f t="shared" si="175"/>
        <v>gylle</v>
      </c>
      <c r="S183" s="561">
        <f t="shared" ref="S183:T183" si="176">E165*$P$179</f>
        <v>37.311325538461539</v>
      </c>
      <c r="T183" s="561">
        <f t="shared" si="176"/>
        <v>25.005479384615381</v>
      </c>
      <c r="U183" s="142">
        <f t="shared" si="167"/>
        <v>0.2</v>
      </c>
      <c r="V183" s="142">
        <f t="shared" si="168"/>
        <v>0.31025000000000003</v>
      </c>
      <c r="W183" s="142">
        <f t="shared" si="169"/>
        <v>58.947500000000005</v>
      </c>
      <c r="Y183" s="561">
        <f t="shared" si="164"/>
        <v>268.40527163076928</v>
      </c>
      <c r="AA183" s="142" t="str">
        <f t="shared" si="170"/>
        <v>jko18_Sengestald med spaltegulv (kanal, line- spil) - gylle</v>
      </c>
    </row>
    <row r="184" spans="1:27" s="142" customFormat="1" x14ac:dyDescent="0.25">
      <c r="A184" s="153"/>
      <c r="B184" s="262"/>
      <c r="C184" s="262"/>
      <c r="D184" s="263"/>
      <c r="E184" s="165"/>
      <c r="F184" s="166"/>
      <c r="H184" s="151"/>
      <c r="I184" s="152"/>
      <c r="J184" s="153"/>
      <c r="K184" s="166"/>
      <c r="N184" s="195"/>
      <c r="O184" s="662"/>
      <c r="P184" s="663"/>
      <c r="Q184" s="142" t="str">
        <f t="shared" ref="Q184:R184" si="177">C166</f>
        <v>Sengestald med spaltegulv (kanal, bagskyl eller ringkanal)</v>
      </c>
      <c r="R184" s="142" t="str">
        <f t="shared" si="177"/>
        <v>gylle</v>
      </c>
      <c r="S184" s="561">
        <f t="shared" ref="S184:T184" si="178">E166*$P$179</f>
        <v>37.311325538461539</v>
      </c>
      <c r="T184" s="561">
        <f t="shared" si="178"/>
        <v>25.005479384615381</v>
      </c>
      <c r="U184" s="142">
        <f t="shared" si="167"/>
        <v>0.2</v>
      </c>
      <c r="V184" s="142">
        <f t="shared" si="168"/>
        <v>0.31025000000000003</v>
      </c>
      <c r="W184" s="142">
        <f t="shared" si="169"/>
        <v>58.947500000000005</v>
      </c>
      <c r="Y184" s="561">
        <f t="shared" si="164"/>
        <v>268.40527163076928</v>
      </c>
      <c r="AA184" s="142" t="str">
        <f t="shared" si="170"/>
        <v>jko18_Sengestald med spaltegulv (kanal, bagskyl eller ringkanal) - gylle</v>
      </c>
    </row>
    <row r="185" spans="1:27" s="142" customFormat="1" x14ac:dyDescent="0.25">
      <c r="A185" s="153"/>
      <c r="B185" s="262"/>
      <c r="C185" s="262"/>
      <c r="D185" s="263"/>
      <c r="E185" s="165"/>
      <c r="F185" s="166"/>
      <c r="H185" s="151"/>
      <c r="I185" s="152"/>
      <c r="J185" s="153"/>
      <c r="K185" s="166"/>
      <c r="N185" s="195"/>
      <c r="O185" s="662"/>
      <c r="P185" s="663"/>
      <c r="Q185" s="142" t="str">
        <f t="shared" ref="Q185:R185" si="179">C167</f>
        <v>Sengestald, fast drænet gulv med skra- ber og ajleafløb *)</v>
      </c>
      <c r="R185" s="142" t="str">
        <f t="shared" si="179"/>
        <v>gylle</v>
      </c>
      <c r="S185" s="561">
        <f t="shared" ref="S185:T185" si="180">E167*$P$179</f>
        <v>37.311325538461539</v>
      </c>
      <c r="T185" s="561">
        <f t="shared" si="180"/>
        <v>25.005479384615381</v>
      </c>
      <c r="U185" s="142">
        <f t="shared" si="167"/>
        <v>0.2</v>
      </c>
      <c r="V185" s="142">
        <f t="shared" si="168"/>
        <v>0.31025000000000003</v>
      </c>
      <c r="W185" s="142">
        <f t="shared" si="169"/>
        <v>58.947500000000005</v>
      </c>
      <c r="Y185" s="561">
        <f t="shared" si="164"/>
        <v>268.40527163076928</v>
      </c>
      <c r="AA185" s="142" t="str">
        <f t="shared" si="170"/>
        <v>jko18_Sengestald, fast drænet gulv med skra- ber og ajleafløb *) - gylle</v>
      </c>
    </row>
    <row r="186" spans="1:27" s="142" customFormat="1" x14ac:dyDescent="0.25">
      <c r="A186" s="153"/>
      <c r="B186" s="262"/>
      <c r="C186" s="262"/>
      <c r="D186" s="263"/>
      <c r="E186" s="165"/>
      <c r="F186" s="166"/>
      <c r="H186" s="151"/>
      <c r="I186" s="152"/>
      <c r="J186" s="153"/>
      <c r="K186" s="166"/>
      <c r="N186" s="195"/>
      <c r="O186" s="662"/>
      <c r="P186" s="663"/>
      <c r="Q186" s="142" t="str">
        <f t="shared" ref="Q186:R186" si="181">C168</f>
        <v>Dybstrøelse, hele arealet</v>
      </c>
      <c r="R186" s="142" t="str">
        <f t="shared" si="181"/>
        <v>dybstrøelse</v>
      </c>
      <c r="S186" s="561">
        <f t="shared" ref="S186:T186" si="182">E168*$P$179</f>
        <v>37.311325538461539</v>
      </c>
      <c r="T186" s="561">
        <f t="shared" si="182"/>
        <v>0</v>
      </c>
      <c r="U186" s="142">
        <f t="shared" si="167"/>
        <v>5</v>
      </c>
      <c r="V186" s="142">
        <f t="shared" si="168"/>
        <v>7.7562500000000005</v>
      </c>
      <c r="W186" s="142">
        <f t="shared" si="169"/>
        <v>1473.6874999999998</v>
      </c>
      <c r="Y186" s="561">
        <f t="shared" si="164"/>
        <v>268.40527163076928</v>
      </c>
      <c r="AA186" s="142" t="str">
        <f t="shared" si="170"/>
        <v>jko18_Dybstrøelse, hele arealet - dybstrøelse</v>
      </c>
    </row>
    <row r="187" spans="1:27" s="142" customFormat="1" x14ac:dyDescent="0.25">
      <c r="A187" s="153"/>
      <c r="B187" s="262"/>
      <c r="C187" s="262"/>
      <c r="D187" s="263"/>
      <c r="E187" s="165"/>
      <c r="F187" s="166"/>
      <c r="H187" s="151"/>
      <c r="I187" s="152"/>
      <c r="J187" s="153"/>
      <c r="K187" s="166"/>
      <c r="N187" s="195"/>
      <c r="O187" s="662"/>
      <c r="P187" s="663"/>
      <c r="Q187" s="142" t="str">
        <f t="shared" ref="Q187:R187" si="183">C169</f>
        <v>Dybstrøelse + kort ædeplads med fast gulv</v>
      </c>
      <c r="R187" s="142" t="str">
        <f t="shared" si="183"/>
        <v>dybstrøelse</v>
      </c>
      <c r="S187" s="561">
        <f t="shared" ref="S187:T187" si="184">E169*$P$179</f>
        <v>37.311325538461539</v>
      </c>
      <c r="T187" s="561">
        <f t="shared" si="184"/>
        <v>0</v>
      </c>
      <c r="U187" s="142">
        <f t="shared" si="167"/>
        <v>4</v>
      </c>
      <c r="V187" s="142">
        <f t="shared" si="168"/>
        <v>6.2050000000000001</v>
      </c>
      <c r="W187" s="142">
        <f t="shared" si="169"/>
        <v>1178.95</v>
      </c>
      <c r="Y187" s="561">
        <f t="shared" si="164"/>
        <v>268.40527163076928</v>
      </c>
      <c r="AA187" s="142" t="str">
        <f t="shared" si="170"/>
        <v>jko18_Dybstrøelse + kort ædeplads med fast gulv - dybstrøelse</v>
      </c>
    </row>
    <row r="188" spans="1:27" s="142" customFormat="1" x14ac:dyDescent="0.25">
      <c r="A188" s="153"/>
      <c r="B188" s="262"/>
      <c r="C188" s="262"/>
      <c r="D188" s="263"/>
      <c r="E188" s="165"/>
      <c r="F188" s="166"/>
      <c r="H188" s="151"/>
      <c r="I188" s="152"/>
      <c r="J188" s="153"/>
      <c r="K188" s="166"/>
      <c r="N188" s="195"/>
      <c r="O188" s="662"/>
      <c r="P188" s="663"/>
      <c r="Q188" s="142" t="str">
        <f t="shared" ref="Q188:R188" si="185">C170</f>
        <v>Dybstrøelse, lang ædeplads med fast gulv</v>
      </c>
      <c r="R188" s="142" t="str">
        <f t="shared" si="185"/>
        <v>dybstrøelse</v>
      </c>
      <c r="S188" s="561">
        <f t="shared" ref="S188:T188" si="186">E170*$P$179</f>
        <v>22.386795323076921</v>
      </c>
      <c r="T188" s="561">
        <f t="shared" si="186"/>
        <v>0</v>
      </c>
      <c r="U188" s="142">
        <f t="shared" si="167"/>
        <v>4</v>
      </c>
      <c r="V188" s="142">
        <f t="shared" si="168"/>
        <v>6.2050000000000001</v>
      </c>
      <c r="W188" s="142">
        <f t="shared" si="169"/>
        <v>1178.95</v>
      </c>
      <c r="Y188" s="561">
        <f t="shared" si="164"/>
        <v>161.04316297846157</v>
      </c>
      <c r="AA188" s="142" t="str">
        <f t="shared" si="170"/>
        <v>jko18_Dybstrøelse, lang ædeplads med fast gulv - dybstrøelse</v>
      </c>
    </row>
    <row r="189" spans="1:27" s="142" customFormat="1" x14ac:dyDescent="0.25">
      <c r="A189" s="153"/>
      <c r="B189" s="262"/>
      <c r="C189" s="262"/>
      <c r="D189" s="263"/>
      <c r="E189" s="165"/>
      <c r="F189" s="166"/>
      <c r="H189" s="151"/>
      <c r="I189" s="152"/>
      <c r="J189" s="153"/>
      <c r="K189" s="166"/>
      <c r="N189" s="195"/>
      <c r="O189" s="662"/>
      <c r="P189" s="663"/>
      <c r="Q189" s="142" t="str">
        <f t="shared" ref="Q189:R189" si="187">C171</f>
        <v>Dybstrøelse, lang ædeplads med fast gulv</v>
      </c>
      <c r="R189" s="142" t="str">
        <f t="shared" si="187"/>
        <v>gylle</v>
      </c>
      <c r="S189" s="561">
        <f t="shared" ref="S189:T189" si="188">E171*$P$179</f>
        <v>14.924530215384616</v>
      </c>
      <c r="T189" s="561">
        <f t="shared" si="188"/>
        <v>10.002191753846153</v>
      </c>
      <c r="U189" s="142">
        <f t="shared" si="167"/>
        <v>0</v>
      </c>
      <c r="V189" s="142">
        <f t="shared" si="168"/>
        <v>0</v>
      </c>
      <c r="W189" s="142">
        <f t="shared" si="169"/>
        <v>0</v>
      </c>
      <c r="Y189" s="561">
        <f t="shared" si="164"/>
        <v>107.36210865230771</v>
      </c>
      <c r="AA189" s="142" t="str">
        <f t="shared" si="170"/>
        <v>jko18_Dybstrøelse, lang ædeplads med fast gulv - gylle</v>
      </c>
    </row>
    <row r="190" spans="1:27" s="142" customFormat="1" x14ac:dyDescent="0.25">
      <c r="A190" s="153"/>
      <c r="B190" s="262"/>
      <c r="C190" s="262"/>
      <c r="D190" s="263"/>
      <c r="E190" s="165"/>
      <c r="F190" s="166"/>
      <c r="H190" s="151"/>
      <c r="I190" s="152"/>
      <c r="J190" s="153"/>
      <c r="K190" s="166"/>
      <c r="N190" s="195"/>
      <c r="O190" s="662"/>
      <c r="P190" s="663"/>
      <c r="Q190" s="142" t="str">
        <f t="shared" ref="Q190:R190" si="189">C172</f>
        <v>Dybstrøelse, lang ædeplads med spalter (kanal, linespil)</v>
      </c>
      <c r="R190" s="142" t="str">
        <f t="shared" si="189"/>
        <v>dybstrøelse</v>
      </c>
      <c r="S190" s="561">
        <f t="shared" ref="S190:T190" si="190">E172*$P$179</f>
        <v>22.386795323076921</v>
      </c>
      <c r="T190" s="561">
        <f t="shared" si="190"/>
        <v>0</v>
      </c>
      <c r="U190" s="142">
        <f t="shared" si="167"/>
        <v>4</v>
      </c>
      <c r="V190" s="142">
        <f t="shared" si="168"/>
        <v>6.2050000000000001</v>
      </c>
      <c r="W190" s="142">
        <f t="shared" si="169"/>
        <v>1178.95</v>
      </c>
      <c r="Y190" s="561">
        <f t="shared" si="164"/>
        <v>161.04316297846157</v>
      </c>
      <c r="AA190" s="142" t="str">
        <f t="shared" si="170"/>
        <v>jko18_Dybstrøelse, lang ædeplads med spalter (kanal, linespil) - dybstrøelse</v>
      </c>
    </row>
    <row r="191" spans="1:27" s="142" customFormat="1" x14ac:dyDescent="0.25">
      <c r="A191" s="153"/>
      <c r="B191" s="262"/>
      <c r="C191" s="262"/>
      <c r="D191" s="263"/>
      <c r="E191" s="165"/>
      <c r="F191" s="166"/>
      <c r="H191" s="151"/>
      <c r="I191" s="152"/>
      <c r="J191" s="153"/>
      <c r="K191" s="166"/>
      <c r="N191" s="195"/>
      <c r="O191" s="662"/>
      <c r="P191" s="663"/>
      <c r="Q191" s="142" t="str">
        <f t="shared" ref="Q191:R191" si="191">C173</f>
        <v>Dybstrøelse, lang ædeplads med spalter (kanal, linespil)</v>
      </c>
      <c r="R191" s="142" t="str">
        <f t="shared" si="191"/>
        <v>gylle</v>
      </c>
      <c r="S191" s="561">
        <f t="shared" ref="S191:T191" si="192">E173*$P$179</f>
        <v>14.924530215384616</v>
      </c>
      <c r="T191" s="561">
        <f t="shared" si="192"/>
        <v>10.002191753846153</v>
      </c>
      <c r="U191" s="142">
        <f t="shared" si="167"/>
        <v>0</v>
      </c>
      <c r="V191" s="142">
        <f t="shared" si="168"/>
        <v>0</v>
      </c>
      <c r="W191" s="142">
        <f t="shared" si="169"/>
        <v>0</v>
      </c>
      <c r="Y191" s="561">
        <f t="shared" si="164"/>
        <v>107.36210865230771</v>
      </c>
      <c r="AA191" s="142" t="str">
        <f t="shared" si="170"/>
        <v>jko18_Dybstrøelse, lang ædeplads med spalter (kanal, linespil) - gylle</v>
      </c>
    </row>
    <row r="192" spans="1:27" s="142" customFormat="1" x14ac:dyDescent="0.25">
      <c r="A192" s="153"/>
      <c r="B192" s="262"/>
      <c r="C192" s="262"/>
      <c r="D192" s="263"/>
      <c r="E192" s="165"/>
      <c r="F192" s="166"/>
      <c r="H192" s="151"/>
      <c r="I192" s="152"/>
      <c r="J192" s="153"/>
      <c r="K192" s="166"/>
      <c r="N192" s="195"/>
      <c r="O192" s="662"/>
      <c r="P192" s="663"/>
      <c r="Q192" s="142" t="str">
        <f t="shared" ref="Q192:R192" si="193">C174</f>
        <v>Dybstrøelse, lang ædeplads med spalter (kanal, bagskyl eller ringkanal)</v>
      </c>
      <c r="R192" s="142" t="str">
        <f t="shared" si="193"/>
        <v>dybstrøelse</v>
      </c>
      <c r="S192" s="561">
        <f t="shared" ref="S192:T192" si="194">E174*$P$179</f>
        <v>22.386795323076921</v>
      </c>
      <c r="T192" s="561">
        <f t="shared" si="194"/>
        <v>0</v>
      </c>
      <c r="U192" s="142">
        <f t="shared" si="167"/>
        <v>4</v>
      </c>
      <c r="V192" s="142">
        <f t="shared" si="168"/>
        <v>6.2050000000000001</v>
      </c>
      <c r="W192" s="142">
        <f t="shared" si="169"/>
        <v>1178.95</v>
      </c>
      <c r="Y192" s="561">
        <f t="shared" si="164"/>
        <v>161.04316297846157</v>
      </c>
      <c r="AA192" s="142" t="str">
        <f t="shared" si="170"/>
        <v>jko18_Dybstrøelse, lang ædeplads med spalter (kanal, bagskyl eller ringkanal) - dybstrøelse</v>
      </c>
    </row>
    <row r="193" spans="1:27" s="142" customFormat="1" x14ac:dyDescent="0.25">
      <c r="A193" s="153"/>
      <c r="B193" s="262"/>
      <c r="C193" s="262"/>
      <c r="D193" s="263"/>
      <c r="E193" s="165"/>
      <c r="F193" s="166"/>
      <c r="H193" s="151"/>
      <c r="I193" s="152"/>
      <c r="J193" s="153"/>
      <c r="K193" s="166"/>
      <c r="N193" s="195"/>
      <c r="O193" s="662"/>
      <c r="P193" s="663"/>
      <c r="Q193" s="142" t="str">
        <f t="shared" ref="Q193:R193" si="195">C175</f>
        <v>Dybstrøelse, lang ædeplads med spalter (kanal, bagskyl eller ringkanal)</v>
      </c>
      <c r="R193" s="142" t="str">
        <f t="shared" si="195"/>
        <v>gylle</v>
      </c>
      <c r="S193" s="561">
        <f t="shared" ref="S193:T193" si="196">E175*$P$179</f>
        <v>14.924530215384616</v>
      </c>
      <c r="T193" s="561">
        <f t="shared" si="196"/>
        <v>10.002191753846153</v>
      </c>
      <c r="U193" s="142">
        <f t="shared" si="167"/>
        <v>0</v>
      </c>
      <c r="V193" s="142">
        <f t="shared" si="168"/>
        <v>0</v>
      </c>
      <c r="W193" s="142">
        <f t="shared" si="169"/>
        <v>0</v>
      </c>
      <c r="Y193" s="561">
        <f t="shared" si="164"/>
        <v>107.36210865230771</v>
      </c>
      <c r="AA193" s="142" t="str">
        <f t="shared" si="170"/>
        <v>jko18_Dybstrøelse, lang ædeplads med spalter (kanal, bagskyl eller ringkanal) - gylle</v>
      </c>
    </row>
    <row r="194" spans="1:27" s="142" customFormat="1" x14ac:dyDescent="0.25">
      <c r="A194" s="153"/>
      <c r="B194" s="262"/>
      <c r="C194" s="262"/>
      <c r="D194" s="263"/>
      <c r="E194" s="165"/>
      <c r="F194" s="166"/>
      <c r="H194" s="151"/>
      <c r="I194" s="152"/>
      <c r="J194" s="153"/>
      <c r="K194" s="166"/>
      <c r="N194" s="195"/>
      <c r="O194" s="662"/>
      <c r="P194" s="663"/>
      <c r="Q194" s="142" t="str">
        <f t="shared" ref="Q194:R194" si="197">C176</f>
        <v>Spaltegulvbokse</v>
      </c>
      <c r="R194" s="142" t="str">
        <f t="shared" si="197"/>
        <v>gylle</v>
      </c>
      <c r="S194" s="561">
        <f t="shared" ref="S194:T194" si="198">E176*$P$179</f>
        <v>37.311325538461539</v>
      </c>
      <c r="T194" s="561">
        <f t="shared" si="198"/>
        <v>25.005479384615381</v>
      </c>
      <c r="U194" s="142">
        <f t="shared" si="167"/>
        <v>0</v>
      </c>
      <c r="V194" s="142">
        <f t="shared" si="168"/>
        <v>0</v>
      </c>
      <c r="W194" s="142">
        <f t="shared" si="169"/>
        <v>0</v>
      </c>
      <c r="Y194" s="561">
        <f t="shared" si="164"/>
        <v>268.40527163076928</v>
      </c>
      <c r="AA194" s="142" t="str">
        <f t="shared" si="170"/>
        <v>jko18_Spaltegulvbokse - gylle</v>
      </c>
    </row>
    <row r="195" spans="1:27" s="142" customFormat="1" x14ac:dyDescent="0.25">
      <c r="A195" s="153"/>
      <c r="B195" s="262"/>
      <c r="C195" s="262"/>
      <c r="D195" s="263"/>
      <c r="E195" s="165"/>
      <c r="F195" s="166"/>
      <c r="H195" s="151"/>
      <c r="I195" s="152"/>
      <c r="J195" s="153"/>
      <c r="K195" s="166"/>
      <c r="N195" s="195"/>
      <c r="O195" s="662"/>
      <c r="P195" s="663"/>
      <c r="S195" s="561"/>
      <c r="T195" s="561"/>
      <c r="Y195" s="561"/>
    </row>
    <row r="196" spans="1:27" s="142" customFormat="1" x14ac:dyDescent="0.25">
      <c r="A196" s="153"/>
      <c r="B196" s="262"/>
      <c r="C196" s="262"/>
      <c r="D196" s="263"/>
      <c r="E196" s="165"/>
      <c r="F196" s="166"/>
      <c r="H196" s="151"/>
      <c r="I196" s="152"/>
      <c r="J196" s="153"/>
      <c r="K196" s="166"/>
      <c r="N196" s="475" t="str">
        <f>C159</f>
        <v xml:space="preserve">Årsopdræt 6 mdr. til kælvning (25 mdr) (kvier og stude), jersey </v>
      </c>
      <c r="O196" s="662"/>
      <c r="P196" s="663"/>
      <c r="Q196" s="155" t="s">
        <v>463</v>
      </c>
      <c r="R196" s="261"/>
      <c r="S196" s="561">
        <f>E160*$P$197</f>
        <v>36.035086769230766</v>
      </c>
      <c r="T196" s="561">
        <f>F160*$P$197</f>
        <v>24.150163692307689</v>
      </c>
      <c r="Y196" s="561">
        <f>K160*$P$197</f>
        <v>259.22443421538463</v>
      </c>
    </row>
    <row r="197" spans="1:27" s="142" customFormat="1" x14ac:dyDescent="0.25">
      <c r="A197" s="153"/>
      <c r="B197" s="262"/>
      <c r="C197" s="262"/>
      <c r="D197" s="263"/>
      <c r="E197" s="165"/>
      <c r="F197" s="166"/>
      <c r="H197" s="151"/>
      <c r="I197" s="152"/>
      <c r="J197" s="153"/>
      <c r="K197" s="166"/>
      <c r="N197" s="195" t="s">
        <v>205</v>
      </c>
      <c r="O197" s="662" t="s">
        <v>265</v>
      </c>
      <c r="P197" s="663">
        <f>(((6 + 22.3) * 0.0576) + 1.46) /3.25</f>
        <v>0.9507938461538461</v>
      </c>
      <c r="Q197" s="142" t="str">
        <f>C161</f>
        <v>Bindestald med grebning</v>
      </c>
      <c r="R197" s="142" t="str">
        <f>D161</f>
        <v>fast gødning</v>
      </c>
      <c r="S197" s="561">
        <f t="shared" ref="S197:T197" si="199">E161*$P$197</f>
        <v>21.62105206153846</v>
      </c>
      <c r="T197" s="561">
        <f t="shared" si="199"/>
        <v>14.490098215384613</v>
      </c>
      <c r="U197" s="142">
        <f>G161</f>
        <v>0.6</v>
      </c>
      <c r="V197" s="142">
        <f t="shared" ref="V197:W197" si="200">H161</f>
        <v>0.93075000000000008</v>
      </c>
      <c r="W197" s="142">
        <f t="shared" si="200"/>
        <v>176.8425</v>
      </c>
      <c r="Y197" s="561">
        <f t="shared" ref="Y197:Y212" si="201">K161*$P$197</f>
        <v>155.53466052923079</v>
      </c>
      <c r="AA197" s="142" t="str">
        <f>$O$197&amp;"_"&amp;Q197&amp;" - "&amp;R197</f>
        <v>jts_Bindestald med grebning - fast gødning</v>
      </c>
    </row>
    <row r="198" spans="1:27" s="142" customFormat="1" x14ac:dyDescent="0.25">
      <c r="A198" s="153"/>
      <c r="B198" s="262"/>
      <c r="C198" s="262"/>
      <c r="D198" s="263"/>
      <c r="E198" s="165"/>
      <c r="F198" s="166"/>
      <c r="H198" s="151"/>
      <c r="I198" s="152"/>
      <c r="J198" s="153"/>
      <c r="K198" s="166"/>
      <c r="N198" s="195" t="s">
        <v>209</v>
      </c>
      <c r="O198" s="664" t="s">
        <v>413</v>
      </c>
      <c r="P198" s="663"/>
      <c r="Q198" s="142" t="str">
        <f t="shared" ref="Q198:R198" si="202">C162</f>
        <v>Bindestald med grebning</v>
      </c>
      <c r="R198" s="142" t="str">
        <f t="shared" si="202"/>
        <v>ajle</v>
      </c>
      <c r="S198" s="561">
        <f t="shared" ref="S198:T198" si="203">E162*$P$197</f>
        <v>14.414034707692307</v>
      </c>
      <c r="T198" s="561">
        <f t="shared" si="203"/>
        <v>9.6600654769230765</v>
      </c>
      <c r="U198" s="142">
        <f t="shared" ref="U198:U212" si="204">G162</f>
        <v>0</v>
      </c>
      <c r="V198" s="142">
        <f t="shared" ref="V198:V212" si="205">H162</f>
        <v>0</v>
      </c>
      <c r="W198" s="142">
        <f t="shared" ref="W198:W212" si="206">I162</f>
        <v>0</v>
      </c>
      <c r="Y198" s="561">
        <f t="shared" si="201"/>
        <v>103.68977368615387</v>
      </c>
      <c r="AA198" s="142" t="str">
        <f t="shared" ref="AA198:AA212" si="207">$O$197&amp;"_"&amp;Q198&amp;" - "&amp;R198</f>
        <v>jts_Bindestald med grebning - ajle</v>
      </c>
    </row>
    <row r="199" spans="1:27" s="142" customFormat="1" x14ac:dyDescent="0.25">
      <c r="A199" s="153"/>
      <c r="B199" s="262"/>
      <c r="C199" s="262"/>
      <c r="D199" s="263"/>
      <c r="E199" s="165"/>
      <c r="F199" s="166"/>
      <c r="H199" s="151"/>
      <c r="I199" s="152"/>
      <c r="J199" s="153"/>
      <c r="K199" s="166"/>
      <c r="N199" s="195"/>
      <c r="O199" s="662"/>
      <c r="P199" s="663"/>
      <c r="Q199" s="142" t="str">
        <f t="shared" ref="Q199:R199" si="208">C163</f>
        <v>Bindestald med riste</v>
      </c>
      <c r="R199" s="142" t="str">
        <f t="shared" si="208"/>
        <v>gylle</v>
      </c>
      <c r="S199" s="561">
        <f t="shared" ref="S199:T199" si="209">E163*$P$197</f>
        <v>36.035086769230766</v>
      </c>
      <c r="T199" s="561">
        <f t="shared" si="209"/>
        <v>24.150163692307689</v>
      </c>
      <c r="U199" s="142">
        <f t="shared" si="204"/>
        <v>0.6</v>
      </c>
      <c r="V199" s="142">
        <f t="shared" si="205"/>
        <v>0.93075000000000008</v>
      </c>
      <c r="W199" s="142">
        <f t="shared" si="206"/>
        <v>176.8425</v>
      </c>
      <c r="Y199" s="561">
        <f t="shared" si="201"/>
        <v>259.22443421538463</v>
      </c>
      <c r="AA199" s="142" t="str">
        <f t="shared" si="207"/>
        <v>jts_Bindestald med riste - gylle</v>
      </c>
    </row>
    <row r="200" spans="1:27" s="142" customFormat="1" x14ac:dyDescent="0.25">
      <c r="A200" s="153"/>
      <c r="B200" s="262"/>
      <c r="C200" s="262"/>
      <c r="D200" s="263"/>
      <c r="E200" s="165"/>
      <c r="F200" s="166"/>
      <c r="H200" s="151"/>
      <c r="I200" s="152"/>
      <c r="J200" s="153"/>
      <c r="K200" s="166"/>
      <c r="N200" s="195"/>
      <c r="O200" s="662"/>
      <c r="P200" s="663"/>
      <c r="Q200" s="142" t="str">
        <f t="shared" ref="Q200:R200" si="210">C164</f>
        <v>Sengestald med fast gulv</v>
      </c>
      <c r="R200" s="142" t="str">
        <f t="shared" si="210"/>
        <v>gylle</v>
      </c>
      <c r="S200" s="561">
        <f t="shared" ref="S200:T200" si="211">E164*$P$197</f>
        <v>36.035086769230766</v>
      </c>
      <c r="T200" s="561">
        <f t="shared" si="211"/>
        <v>24.150163692307689</v>
      </c>
      <c r="U200" s="142">
        <f t="shared" si="204"/>
        <v>0.2</v>
      </c>
      <c r="V200" s="142">
        <f t="shared" si="205"/>
        <v>0.31025000000000003</v>
      </c>
      <c r="W200" s="142">
        <f t="shared" si="206"/>
        <v>58.947500000000005</v>
      </c>
      <c r="Y200" s="561">
        <f t="shared" si="201"/>
        <v>259.22443421538463</v>
      </c>
      <c r="AA200" s="142" t="str">
        <f t="shared" si="207"/>
        <v>jts_Sengestald med fast gulv - gylle</v>
      </c>
    </row>
    <row r="201" spans="1:27" s="142" customFormat="1" x14ac:dyDescent="0.25">
      <c r="A201" s="153"/>
      <c r="B201" s="262"/>
      <c r="C201" s="262"/>
      <c r="D201" s="263"/>
      <c r="E201" s="165"/>
      <c r="F201" s="166"/>
      <c r="H201" s="151"/>
      <c r="I201" s="152"/>
      <c r="J201" s="153"/>
      <c r="K201" s="166"/>
      <c r="N201" s="195"/>
      <c r="O201" s="662"/>
      <c r="P201" s="663"/>
      <c r="Q201" s="142" t="str">
        <f t="shared" ref="Q201:R201" si="212">C165</f>
        <v>Sengestald med spaltegulv (kanal, line- spil)</v>
      </c>
      <c r="R201" s="142" t="str">
        <f t="shared" si="212"/>
        <v>gylle</v>
      </c>
      <c r="S201" s="561">
        <f t="shared" ref="S201:T201" si="213">E165*$P$197</f>
        <v>36.035086769230766</v>
      </c>
      <c r="T201" s="561">
        <f t="shared" si="213"/>
        <v>24.150163692307689</v>
      </c>
      <c r="U201" s="142">
        <f t="shared" si="204"/>
        <v>0.2</v>
      </c>
      <c r="V201" s="142">
        <f t="shared" si="205"/>
        <v>0.31025000000000003</v>
      </c>
      <c r="W201" s="142">
        <f t="shared" si="206"/>
        <v>58.947500000000005</v>
      </c>
      <c r="Y201" s="561">
        <f t="shared" si="201"/>
        <v>259.22443421538463</v>
      </c>
      <c r="AA201" s="142" t="str">
        <f t="shared" si="207"/>
        <v>jts_Sengestald med spaltegulv (kanal, line- spil) - gylle</v>
      </c>
    </row>
    <row r="202" spans="1:27" s="142" customFormat="1" x14ac:dyDescent="0.25">
      <c r="A202" s="153"/>
      <c r="B202" s="262"/>
      <c r="C202" s="262"/>
      <c r="D202" s="263"/>
      <c r="E202" s="165"/>
      <c r="F202" s="166"/>
      <c r="H202" s="151"/>
      <c r="I202" s="152"/>
      <c r="J202" s="153"/>
      <c r="K202" s="166"/>
      <c r="N202" s="195"/>
      <c r="O202" s="662"/>
      <c r="P202" s="663"/>
      <c r="Q202" s="142" t="str">
        <f t="shared" ref="Q202:R202" si="214">C166</f>
        <v>Sengestald med spaltegulv (kanal, bagskyl eller ringkanal)</v>
      </c>
      <c r="R202" s="142" t="str">
        <f t="shared" si="214"/>
        <v>gylle</v>
      </c>
      <c r="S202" s="561">
        <f t="shared" ref="S202:T202" si="215">E166*$P$197</f>
        <v>36.035086769230766</v>
      </c>
      <c r="T202" s="561">
        <f t="shared" si="215"/>
        <v>24.150163692307689</v>
      </c>
      <c r="U202" s="142">
        <f t="shared" si="204"/>
        <v>0.2</v>
      </c>
      <c r="V202" s="142">
        <f t="shared" si="205"/>
        <v>0.31025000000000003</v>
      </c>
      <c r="W202" s="142">
        <f t="shared" si="206"/>
        <v>58.947500000000005</v>
      </c>
      <c r="Y202" s="561">
        <f t="shared" si="201"/>
        <v>259.22443421538463</v>
      </c>
      <c r="AA202" s="142" t="str">
        <f t="shared" si="207"/>
        <v>jts_Sengestald med spaltegulv (kanal, bagskyl eller ringkanal) - gylle</v>
      </c>
    </row>
    <row r="203" spans="1:27" s="142" customFormat="1" x14ac:dyDescent="0.25">
      <c r="A203" s="153"/>
      <c r="B203" s="262"/>
      <c r="C203" s="262"/>
      <c r="D203" s="263"/>
      <c r="E203" s="165"/>
      <c r="F203" s="166"/>
      <c r="H203" s="151"/>
      <c r="I203" s="152"/>
      <c r="J203" s="153"/>
      <c r="K203" s="166"/>
      <c r="N203" s="195"/>
      <c r="O203" s="662"/>
      <c r="P203" s="663"/>
      <c r="Q203" s="142" t="str">
        <f t="shared" ref="Q203:R203" si="216">C167</f>
        <v>Sengestald, fast drænet gulv med skra- ber og ajleafløb *)</v>
      </c>
      <c r="R203" s="142" t="str">
        <f t="shared" si="216"/>
        <v>gylle</v>
      </c>
      <c r="S203" s="561">
        <f t="shared" ref="S203:T203" si="217">E167*$P$197</f>
        <v>36.035086769230766</v>
      </c>
      <c r="T203" s="561">
        <f t="shared" si="217"/>
        <v>24.150163692307689</v>
      </c>
      <c r="U203" s="142">
        <f t="shared" si="204"/>
        <v>0.2</v>
      </c>
      <c r="V203" s="142">
        <f t="shared" si="205"/>
        <v>0.31025000000000003</v>
      </c>
      <c r="W203" s="142">
        <f t="shared" si="206"/>
        <v>58.947500000000005</v>
      </c>
      <c r="Y203" s="561">
        <f t="shared" si="201"/>
        <v>259.22443421538463</v>
      </c>
      <c r="AA203" s="142" t="str">
        <f t="shared" si="207"/>
        <v>jts_Sengestald, fast drænet gulv med skra- ber og ajleafløb *) - gylle</v>
      </c>
    </row>
    <row r="204" spans="1:27" s="142" customFormat="1" x14ac:dyDescent="0.25">
      <c r="A204" s="153"/>
      <c r="B204" s="262"/>
      <c r="C204" s="262"/>
      <c r="D204" s="263"/>
      <c r="E204" s="165"/>
      <c r="F204" s="166"/>
      <c r="H204" s="151"/>
      <c r="I204" s="152"/>
      <c r="J204" s="153"/>
      <c r="K204" s="166"/>
      <c r="N204" s="195"/>
      <c r="O204" s="662"/>
      <c r="P204" s="663"/>
      <c r="Q204" s="142" t="str">
        <f t="shared" ref="Q204:R204" si="218">C168</f>
        <v>Dybstrøelse, hele arealet</v>
      </c>
      <c r="R204" s="142" t="str">
        <f t="shared" si="218"/>
        <v>dybstrøelse</v>
      </c>
      <c r="S204" s="561">
        <f t="shared" ref="S204:T204" si="219">E168*$P$197</f>
        <v>36.035086769230766</v>
      </c>
      <c r="T204" s="561">
        <f t="shared" si="219"/>
        <v>0</v>
      </c>
      <c r="U204" s="142">
        <f t="shared" si="204"/>
        <v>5</v>
      </c>
      <c r="V204" s="142">
        <f t="shared" si="205"/>
        <v>7.7562500000000005</v>
      </c>
      <c r="W204" s="142">
        <f t="shared" si="206"/>
        <v>1473.6874999999998</v>
      </c>
      <c r="Y204" s="561">
        <f t="shared" si="201"/>
        <v>259.22443421538463</v>
      </c>
      <c r="AA204" s="142" t="str">
        <f t="shared" si="207"/>
        <v>jts_Dybstrøelse, hele arealet - dybstrøelse</v>
      </c>
    </row>
    <row r="205" spans="1:27" s="142" customFormat="1" x14ac:dyDescent="0.25">
      <c r="A205" s="153"/>
      <c r="B205" s="262"/>
      <c r="C205" s="262"/>
      <c r="D205" s="263"/>
      <c r="E205" s="165"/>
      <c r="F205" s="166"/>
      <c r="H205" s="151"/>
      <c r="I205" s="152"/>
      <c r="J205" s="153"/>
      <c r="K205" s="166"/>
      <c r="N205" s="195"/>
      <c r="O205" s="662"/>
      <c r="P205" s="663"/>
      <c r="Q205" s="142" t="str">
        <f t="shared" ref="Q205:R205" si="220">C169</f>
        <v>Dybstrøelse + kort ædeplads med fast gulv</v>
      </c>
      <c r="R205" s="142" t="str">
        <f t="shared" si="220"/>
        <v>dybstrøelse</v>
      </c>
      <c r="S205" s="561">
        <f t="shared" ref="S205:T205" si="221">E169*$P$197</f>
        <v>36.035086769230766</v>
      </c>
      <c r="T205" s="561">
        <f t="shared" si="221"/>
        <v>0</v>
      </c>
      <c r="U205" s="142">
        <f t="shared" si="204"/>
        <v>4</v>
      </c>
      <c r="V205" s="142">
        <f t="shared" si="205"/>
        <v>6.2050000000000001</v>
      </c>
      <c r="W205" s="142">
        <f t="shared" si="206"/>
        <v>1178.95</v>
      </c>
      <c r="Y205" s="561">
        <f t="shared" si="201"/>
        <v>259.22443421538463</v>
      </c>
      <c r="AA205" s="142" t="str">
        <f t="shared" si="207"/>
        <v>jts_Dybstrøelse + kort ædeplads med fast gulv - dybstrøelse</v>
      </c>
    </row>
    <row r="206" spans="1:27" s="142" customFormat="1" x14ac:dyDescent="0.25">
      <c r="A206" s="153"/>
      <c r="B206" s="262"/>
      <c r="C206" s="262"/>
      <c r="D206" s="263"/>
      <c r="E206" s="165"/>
      <c r="F206" s="166"/>
      <c r="H206" s="151"/>
      <c r="I206" s="152"/>
      <c r="J206" s="153"/>
      <c r="K206" s="166"/>
      <c r="N206" s="195"/>
      <c r="O206" s="662"/>
      <c r="P206" s="663"/>
      <c r="Q206" s="142" t="str">
        <f t="shared" ref="Q206:R206" si="222">C170</f>
        <v>Dybstrøelse, lang ædeplads med fast gulv</v>
      </c>
      <c r="R206" s="142" t="str">
        <f t="shared" si="222"/>
        <v>dybstrøelse</v>
      </c>
      <c r="S206" s="561">
        <f t="shared" ref="S206:T206" si="223">E170*$P$197</f>
        <v>21.62105206153846</v>
      </c>
      <c r="T206" s="561">
        <f t="shared" si="223"/>
        <v>0</v>
      </c>
      <c r="U206" s="142">
        <f t="shared" si="204"/>
        <v>4</v>
      </c>
      <c r="V206" s="142">
        <f t="shared" si="205"/>
        <v>6.2050000000000001</v>
      </c>
      <c r="W206" s="142">
        <f t="shared" si="206"/>
        <v>1178.95</v>
      </c>
      <c r="Y206" s="561">
        <f t="shared" si="201"/>
        <v>155.53466052923079</v>
      </c>
      <c r="AA206" s="142" t="str">
        <f t="shared" si="207"/>
        <v>jts_Dybstrøelse, lang ædeplads med fast gulv - dybstrøelse</v>
      </c>
    </row>
    <row r="207" spans="1:27" s="142" customFormat="1" x14ac:dyDescent="0.25">
      <c r="A207" s="153"/>
      <c r="B207" s="262"/>
      <c r="C207" s="262"/>
      <c r="D207" s="263"/>
      <c r="E207" s="165"/>
      <c r="F207" s="166"/>
      <c r="H207" s="151"/>
      <c r="I207" s="152"/>
      <c r="J207" s="153"/>
      <c r="K207" s="166"/>
      <c r="N207" s="195"/>
      <c r="O207" s="662"/>
      <c r="P207" s="663"/>
      <c r="Q207" s="142" t="str">
        <f t="shared" ref="Q207:R207" si="224">C171</f>
        <v>Dybstrøelse, lang ædeplads med fast gulv</v>
      </c>
      <c r="R207" s="142" t="str">
        <f t="shared" si="224"/>
        <v>gylle</v>
      </c>
      <c r="S207" s="561">
        <f t="shared" ref="S207:T207" si="225">E171*$P$197</f>
        <v>14.414034707692307</v>
      </c>
      <c r="T207" s="561">
        <f t="shared" si="225"/>
        <v>9.6600654769230765</v>
      </c>
      <c r="U207" s="142">
        <f t="shared" si="204"/>
        <v>0</v>
      </c>
      <c r="V207" s="142">
        <f t="shared" si="205"/>
        <v>0</v>
      </c>
      <c r="W207" s="142">
        <f t="shared" si="206"/>
        <v>0</v>
      </c>
      <c r="Y207" s="561">
        <f t="shared" si="201"/>
        <v>103.68977368615387</v>
      </c>
      <c r="AA207" s="142" t="str">
        <f t="shared" si="207"/>
        <v>jts_Dybstrøelse, lang ædeplads med fast gulv - gylle</v>
      </c>
    </row>
    <row r="208" spans="1:27" s="142" customFormat="1" x14ac:dyDescent="0.25">
      <c r="A208" s="153"/>
      <c r="B208" s="262"/>
      <c r="C208" s="262"/>
      <c r="D208" s="263"/>
      <c r="E208" s="165"/>
      <c r="F208" s="166"/>
      <c r="H208" s="151"/>
      <c r="I208" s="152"/>
      <c r="J208" s="153"/>
      <c r="K208" s="166"/>
      <c r="N208" s="195"/>
      <c r="O208" s="662"/>
      <c r="P208" s="663"/>
      <c r="Q208" s="142" t="str">
        <f t="shared" ref="Q208:R208" si="226">C172</f>
        <v>Dybstrøelse, lang ædeplads med spalter (kanal, linespil)</v>
      </c>
      <c r="R208" s="142" t="str">
        <f t="shared" si="226"/>
        <v>dybstrøelse</v>
      </c>
      <c r="S208" s="561">
        <f t="shared" ref="S208:T208" si="227">E172*$P$197</f>
        <v>21.62105206153846</v>
      </c>
      <c r="T208" s="561">
        <f t="shared" si="227"/>
        <v>0</v>
      </c>
      <c r="U208" s="142">
        <f t="shared" si="204"/>
        <v>4</v>
      </c>
      <c r="V208" s="142">
        <f t="shared" si="205"/>
        <v>6.2050000000000001</v>
      </c>
      <c r="W208" s="142">
        <f t="shared" si="206"/>
        <v>1178.95</v>
      </c>
      <c r="Y208" s="561">
        <f t="shared" si="201"/>
        <v>155.53466052923079</v>
      </c>
      <c r="AA208" s="142" t="str">
        <f t="shared" si="207"/>
        <v>jts_Dybstrøelse, lang ædeplads med spalter (kanal, linespil) - dybstrøelse</v>
      </c>
    </row>
    <row r="209" spans="1:27" s="142" customFormat="1" x14ac:dyDescent="0.25">
      <c r="A209" s="153"/>
      <c r="B209" s="262"/>
      <c r="C209" s="262"/>
      <c r="D209" s="263"/>
      <c r="E209" s="165"/>
      <c r="F209" s="166"/>
      <c r="H209" s="151"/>
      <c r="I209" s="152"/>
      <c r="J209" s="153"/>
      <c r="K209" s="166"/>
      <c r="N209" s="195"/>
      <c r="O209" s="662"/>
      <c r="P209" s="663"/>
      <c r="Q209" s="142" t="str">
        <f t="shared" ref="Q209:R209" si="228">C173</f>
        <v>Dybstrøelse, lang ædeplads med spalter (kanal, linespil)</v>
      </c>
      <c r="R209" s="142" t="str">
        <f t="shared" si="228"/>
        <v>gylle</v>
      </c>
      <c r="S209" s="561">
        <f t="shared" ref="S209:T209" si="229">E173*$P$197</f>
        <v>14.414034707692307</v>
      </c>
      <c r="T209" s="561">
        <f t="shared" si="229"/>
        <v>9.6600654769230765</v>
      </c>
      <c r="U209" s="142">
        <f t="shared" si="204"/>
        <v>0</v>
      </c>
      <c r="V209" s="142">
        <f t="shared" si="205"/>
        <v>0</v>
      </c>
      <c r="W209" s="142">
        <f t="shared" si="206"/>
        <v>0</v>
      </c>
      <c r="Y209" s="561">
        <f t="shared" si="201"/>
        <v>103.68977368615387</v>
      </c>
      <c r="AA209" s="142" t="str">
        <f t="shared" si="207"/>
        <v>jts_Dybstrøelse, lang ædeplads med spalter (kanal, linespil) - gylle</v>
      </c>
    </row>
    <row r="210" spans="1:27" s="142" customFormat="1" x14ac:dyDescent="0.25">
      <c r="A210" s="153"/>
      <c r="B210" s="262"/>
      <c r="C210" s="262"/>
      <c r="D210" s="263"/>
      <c r="E210" s="165"/>
      <c r="F210" s="166"/>
      <c r="H210" s="151"/>
      <c r="I210" s="152"/>
      <c r="J210" s="153"/>
      <c r="K210" s="166"/>
      <c r="N210" s="195"/>
      <c r="O210" s="662"/>
      <c r="P210" s="663"/>
      <c r="Q210" s="142" t="str">
        <f t="shared" ref="Q210:R210" si="230">C174</f>
        <v>Dybstrøelse, lang ædeplads med spalter (kanal, bagskyl eller ringkanal)</v>
      </c>
      <c r="R210" s="142" t="str">
        <f t="shared" si="230"/>
        <v>dybstrøelse</v>
      </c>
      <c r="S210" s="561">
        <f t="shared" ref="S210:T210" si="231">E174*$P$197</f>
        <v>21.62105206153846</v>
      </c>
      <c r="T210" s="561">
        <f t="shared" si="231"/>
        <v>0</v>
      </c>
      <c r="U210" s="142">
        <f t="shared" si="204"/>
        <v>4</v>
      </c>
      <c r="V210" s="142">
        <f t="shared" si="205"/>
        <v>6.2050000000000001</v>
      </c>
      <c r="W210" s="142">
        <f t="shared" si="206"/>
        <v>1178.95</v>
      </c>
      <c r="Y210" s="561">
        <f t="shared" si="201"/>
        <v>155.53466052923079</v>
      </c>
      <c r="AA210" s="142" t="str">
        <f t="shared" si="207"/>
        <v>jts_Dybstrøelse, lang ædeplads med spalter (kanal, bagskyl eller ringkanal) - dybstrøelse</v>
      </c>
    </row>
    <row r="211" spans="1:27" s="142" customFormat="1" x14ac:dyDescent="0.25">
      <c r="A211" s="153"/>
      <c r="B211" s="262"/>
      <c r="C211" s="262"/>
      <c r="D211" s="263"/>
      <c r="E211" s="165"/>
      <c r="F211" s="166"/>
      <c r="H211" s="151"/>
      <c r="I211" s="152"/>
      <c r="J211" s="153"/>
      <c r="K211" s="166"/>
      <c r="N211" s="195"/>
      <c r="O211" s="662"/>
      <c r="P211" s="663"/>
      <c r="Q211" s="142" t="str">
        <f t="shared" ref="Q211:R211" si="232">C175</f>
        <v>Dybstrøelse, lang ædeplads med spalter (kanal, bagskyl eller ringkanal)</v>
      </c>
      <c r="R211" s="142" t="str">
        <f t="shared" si="232"/>
        <v>gylle</v>
      </c>
      <c r="S211" s="561">
        <f t="shared" ref="S211:T211" si="233">E175*$P$197</f>
        <v>14.414034707692307</v>
      </c>
      <c r="T211" s="561">
        <f t="shared" si="233"/>
        <v>9.6600654769230765</v>
      </c>
      <c r="U211" s="142">
        <f t="shared" si="204"/>
        <v>0</v>
      </c>
      <c r="V211" s="142">
        <f t="shared" si="205"/>
        <v>0</v>
      </c>
      <c r="W211" s="142">
        <f t="shared" si="206"/>
        <v>0</v>
      </c>
      <c r="Y211" s="561">
        <f t="shared" si="201"/>
        <v>103.68977368615387</v>
      </c>
      <c r="AA211" s="142" t="str">
        <f t="shared" si="207"/>
        <v>jts_Dybstrøelse, lang ædeplads med spalter (kanal, bagskyl eller ringkanal) - gylle</v>
      </c>
    </row>
    <row r="212" spans="1:27" s="142" customFormat="1" x14ac:dyDescent="0.25">
      <c r="A212" s="153"/>
      <c r="B212" s="262"/>
      <c r="C212" s="262"/>
      <c r="D212" s="263"/>
      <c r="E212" s="165"/>
      <c r="F212" s="166"/>
      <c r="H212" s="151"/>
      <c r="I212" s="152"/>
      <c r="J212" s="153"/>
      <c r="K212" s="166"/>
      <c r="N212" s="195"/>
      <c r="O212" s="662"/>
      <c r="P212" s="663"/>
      <c r="Q212" s="142" t="str">
        <f t="shared" ref="Q212:R212" si="234">C176</f>
        <v>Spaltegulvbokse</v>
      </c>
      <c r="R212" s="142" t="str">
        <f t="shared" si="234"/>
        <v>gylle</v>
      </c>
      <c r="S212" s="561">
        <f t="shared" ref="S212:T212" si="235">E176*$P$197</f>
        <v>36.035086769230766</v>
      </c>
      <c r="T212" s="561">
        <f t="shared" si="235"/>
        <v>24.150163692307689</v>
      </c>
      <c r="U212" s="142">
        <f t="shared" si="204"/>
        <v>0</v>
      </c>
      <c r="V212" s="142">
        <f t="shared" si="205"/>
        <v>0</v>
      </c>
      <c r="W212" s="142">
        <f t="shared" si="206"/>
        <v>0</v>
      </c>
      <c r="Y212" s="561">
        <f t="shared" si="201"/>
        <v>259.22443421538463</v>
      </c>
      <c r="AA212" s="142" t="str">
        <f t="shared" si="207"/>
        <v>jts_Spaltegulvbokse - gylle</v>
      </c>
    </row>
    <row r="213" spans="1:27" s="142" customFormat="1" x14ac:dyDescent="0.25">
      <c r="A213" s="146"/>
      <c r="B213" s="147"/>
      <c r="C213" s="148" t="s">
        <v>46</v>
      </c>
      <c r="D213" s="147"/>
      <c r="E213" s="149"/>
      <c r="F213" s="150"/>
      <c r="H213" s="151"/>
      <c r="I213" s="152"/>
      <c r="J213" s="153"/>
      <c r="K213" s="154"/>
      <c r="N213" s="195"/>
      <c r="O213" s="662" t="s">
        <v>210</v>
      </c>
      <c r="P213" s="663"/>
      <c r="Q213" s="155"/>
      <c r="S213" s="236"/>
      <c r="T213" s="236"/>
      <c r="Y213" s="236"/>
    </row>
    <row r="214" spans="1:27" s="142" customFormat="1" x14ac:dyDescent="0.25">
      <c r="A214" s="153"/>
      <c r="C214" s="156" t="s">
        <v>53</v>
      </c>
      <c r="D214" s="157">
        <f>6/E214</f>
        <v>0.65934065934065933</v>
      </c>
      <c r="E214" s="158">
        <v>9.1</v>
      </c>
      <c r="F214" s="159">
        <f>E214*D214</f>
        <v>6</v>
      </c>
      <c r="H214" s="151"/>
      <c r="I214" s="152"/>
      <c r="J214" s="160">
        <v>0.97</v>
      </c>
      <c r="K214" s="161">
        <f>J214*1000*0.08*0.8</f>
        <v>62.080000000000013</v>
      </c>
      <c r="M214" s="142" t="str">
        <f>C213</f>
        <v>1 produceret tyrekalv, 0-6 mdr, Jersey</v>
      </c>
      <c r="N214" s="475" t="str">
        <f>C213</f>
        <v>1 produceret tyrekalv, 0-6 mdr, Jersey</v>
      </c>
      <c r="O214" s="662"/>
      <c r="P214" s="663"/>
      <c r="Q214" s="155" t="s">
        <v>590</v>
      </c>
      <c r="R214" s="261"/>
      <c r="S214" s="561">
        <f t="shared" ref="S214:T216" si="236">E214*$P$215</f>
        <v>1.0233543656884874</v>
      </c>
      <c r="T214" s="561">
        <f t="shared" si="236"/>
        <v>0.67473914221218956</v>
      </c>
      <c r="Y214" s="561">
        <f t="shared" ref="Y214:Y216" si="237">K214*$P$215</f>
        <v>6.9813009914221222</v>
      </c>
    </row>
    <row r="215" spans="1:27" s="142" customFormat="1" x14ac:dyDescent="0.25">
      <c r="A215" s="153">
        <v>1234</v>
      </c>
      <c r="B215" s="142">
        <v>1</v>
      </c>
      <c r="C215" s="142" t="s">
        <v>26</v>
      </c>
      <c r="D215" s="142" t="s">
        <v>6</v>
      </c>
      <c r="E215" s="165">
        <f>$E$214</f>
        <v>9.1</v>
      </c>
      <c r="F215" s="166"/>
      <c r="G215" s="142">
        <v>1.2</v>
      </c>
      <c r="H215" s="151">
        <f>G215*0.85*365*$H$5</f>
        <v>1.8615000000000002</v>
      </c>
      <c r="I215" s="152">
        <f>G215*0.85*(1-0.05)*365</f>
        <v>353.685</v>
      </c>
      <c r="J215" s="153"/>
      <c r="K215" s="166">
        <f>$K$214</f>
        <v>62.080000000000013</v>
      </c>
      <c r="M215" s="142" t="str">
        <f>C215&amp;" - "&amp;D215</f>
        <v>Dybstrøelse (hele arealet) - Dybstrøelse</v>
      </c>
      <c r="N215" s="195" t="s">
        <v>211</v>
      </c>
      <c r="O215" s="662" t="s">
        <v>585</v>
      </c>
      <c r="P215" s="663">
        <f>(2.308 * (43-25) + 0.00676 * ((43)^2 - (25)^2)) / 443</f>
        <v>0.11245652370203159</v>
      </c>
      <c r="Q215" s="142" t="str">
        <f>C215</f>
        <v>Dybstrøelse (hele arealet)</v>
      </c>
      <c r="R215" s="142" t="str">
        <f>D215</f>
        <v>Dybstrøelse</v>
      </c>
      <c r="S215" s="561">
        <f t="shared" si="236"/>
        <v>1.0233543656884874</v>
      </c>
      <c r="T215" s="561">
        <f t="shared" si="236"/>
        <v>0</v>
      </c>
      <c r="U215" s="142">
        <f t="shared" ref="U215" si="238">G215</f>
        <v>1.2</v>
      </c>
      <c r="V215" s="142">
        <f t="shared" ref="V215" si="239">H215</f>
        <v>1.8615000000000002</v>
      </c>
      <c r="W215" s="142">
        <f t="shared" ref="W215" si="240">I215</f>
        <v>353.685</v>
      </c>
      <c r="Y215" s="561">
        <f t="shared" si="237"/>
        <v>6.9813009914221222</v>
      </c>
      <c r="AA215" s="142" t="str">
        <f>$O$215&amp;"_"&amp;Q215&amp;" - "&amp;R215</f>
        <v>jt01_Dybstrøelse (hele arealet) - Dybstrøelse</v>
      </c>
    </row>
    <row r="216" spans="1:27" s="142" customFormat="1" x14ac:dyDescent="0.25">
      <c r="A216" s="169">
        <v>1234</v>
      </c>
      <c r="B216" s="170">
        <v>2</v>
      </c>
      <c r="C216" s="170" t="s">
        <v>36</v>
      </c>
      <c r="D216" s="170" t="s">
        <v>6</v>
      </c>
      <c r="E216" s="173">
        <f>E214</f>
        <v>9.1</v>
      </c>
      <c r="F216" s="171"/>
      <c r="G216" s="142">
        <v>1.2</v>
      </c>
      <c r="H216" s="151">
        <f>G216*0.85*365*$H$5</f>
        <v>1.8615000000000002</v>
      </c>
      <c r="I216" s="152">
        <f>G216*0.85*(1-0.05)*365</f>
        <v>353.685</v>
      </c>
      <c r="J216" s="153"/>
      <c r="K216" s="171">
        <f>$K$214</f>
        <v>62.080000000000013</v>
      </c>
      <c r="M216" s="142" t="str">
        <f>C216&amp;" - "&amp;D216</f>
        <v>Dybstrøelse + kort ædeplads med fast gulv - Dybstrøelse</v>
      </c>
      <c r="N216" s="195" t="s">
        <v>267</v>
      </c>
      <c r="O216" s="664" t="s">
        <v>675</v>
      </c>
      <c r="P216" s="663"/>
      <c r="Q216" s="142" t="str">
        <f>C216</f>
        <v>Dybstrøelse + kort ædeplads med fast gulv</v>
      </c>
      <c r="R216" s="142" t="str">
        <f>D216</f>
        <v>Dybstrøelse</v>
      </c>
      <c r="S216" s="561">
        <f t="shared" si="236"/>
        <v>1.0233543656884874</v>
      </c>
      <c r="T216" s="561">
        <f t="shared" si="236"/>
        <v>0</v>
      </c>
      <c r="U216" s="142">
        <f t="shared" ref="U216" si="241">G216</f>
        <v>1.2</v>
      </c>
      <c r="V216" s="142">
        <f t="shared" ref="V216" si="242">H216</f>
        <v>1.8615000000000002</v>
      </c>
      <c r="W216" s="142">
        <f t="shared" ref="W216" si="243">I216</f>
        <v>353.685</v>
      </c>
      <c r="Y216" s="561">
        <f t="shared" si="237"/>
        <v>6.9813009914221222</v>
      </c>
      <c r="AA216" s="142" t="str">
        <f>$O$215&amp;"_"&amp;Q216&amp;" - "&amp;R216</f>
        <v>jt01_Dybstrøelse + kort ædeplads med fast gulv - Dybstrøelse</v>
      </c>
    </row>
    <row r="217" spans="1:27" s="142" customFormat="1" x14ac:dyDescent="0.25">
      <c r="A217" s="153"/>
      <c r="B217" s="262"/>
      <c r="C217" s="262"/>
      <c r="D217" s="262"/>
      <c r="E217" s="319"/>
      <c r="F217" s="166"/>
      <c r="H217" s="151"/>
      <c r="I217" s="152"/>
      <c r="J217" s="153"/>
      <c r="K217" s="166"/>
      <c r="N217" s="195" t="s">
        <v>210</v>
      </c>
      <c r="O217" s="662"/>
      <c r="P217" s="663"/>
      <c r="S217" s="561"/>
      <c r="T217" s="561"/>
      <c r="Y217" s="561"/>
    </row>
    <row r="218" spans="1:27" s="142" customFormat="1" x14ac:dyDescent="0.25">
      <c r="A218" s="153"/>
      <c r="B218" s="262"/>
      <c r="C218" s="262"/>
      <c r="D218" s="262"/>
      <c r="E218" s="319"/>
      <c r="F218" s="166"/>
      <c r="H218" s="151"/>
      <c r="I218" s="152"/>
      <c r="J218" s="153"/>
      <c r="K218" s="166"/>
      <c r="N218" s="475" t="str">
        <f>C213</f>
        <v>1 produceret tyrekalv, 0-6 mdr, Jersey</v>
      </c>
      <c r="O218" s="662"/>
      <c r="P218" s="663"/>
      <c r="Q218" s="155" t="s">
        <v>464</v>
      </c>
      <c r="R218" s="261"/>
      <c r="S218" s="561">
        <f>E214*$P$219</f>
        <v>9.1</v>
      </c>
      <c r="T218" s="561">
        <f>F214*$P$219</f>
        <v>6</v>
      </c>
      <c r="Y218" s="561">
        <f>K214*$P$219</f>
        <v>62.080000000000013</v>
      </c>
    </row>
    <row r="219" spans="1:27" s="142" customFormat="1" x14ac:dyDescent="0.25">
      <c r="A219" s="153"/>
      <c r="B219" s="262"/>
      <c r="C219" s="262"/>
      <c r="D219" s="262"/>
      <c r="E219" s="319"/>
      <c r="F219" s="166"/>
      <c r="H219" s="151"/>
      <c r="I219" s="152"/>
      <c r="J219" s="153"/>
      <c r="K219" s="166"/>
      <c r="N219" s="195"/>
      <c r="O219" s="662" t="s">
        <v>348</v>
      </c>
      <c r="P219" s="663">
        <v>1</v>
      </c>
      <c r="Q219" s="142" t="str">
        <f>C215</f>
        <v>Dybstrøelse (hele arealet)</v>
      </c>
      <c r="R219" s="142" t="str">
        <f>D215</f>
        <v>Dybstrøelse</v>
      </c>
      <c r="S219" s="561">
        <f t="shared" ref="S219:T219" si="244">E215*$P$219</f>
        <v>9.1</v>
      </c>
      <c r="T219" s="561">
        <f t="shared" si="244"/>
        <v>0</v>
      </c>
      <c r="U219" s="142">
        <f>G215</f>
        <v>1.2</v>
      </c>
      <c r="V219" s="142">
        <f t="shared" ref="V219:W219" si="245">H215</f>
        <v>1.8615000000000002</v>
      </c>
      <c r="W219" s="142">
        <f t="shared" si="245"/>
        <v>353.685</v>
      </c>
      <c r="Y219" s="561">
        <f t="shared" ref="Y219:Y220" si="246">K215*$P$219</f>
        <v>62.080000000000013</v>
      </c>
      <c r="AA219" s="142" t="str">
        <f>$O$219&amp;"_"&amp;Q219&amp;" - "&amp;R219</f>
        <v>jt06_Dybstrøelse (hele arealet) - Dybstrøelse</v>
      </c>
    </row>
    <row r="220" spans="1:27" s="142" customFormat="1" x14ac:dyDescent="0.25">
      <c r="A220" s="153"/>
      <c r="B220" s="262"/>
      <c r="C220" s="262"/>
      <c r="D220" s="262"/>
      <c r="E220" s="319"/>
      <c r="F220" s="166"/>
      <c r="H220" s="151"/>
      <c r="I220" s="152"/>
      <c r="J220" s="153"/>
      <c r="K220" s="166"/>
      <c r="N220" s="195"/>
      <c r="O220" s="664"/>
      <c r="P220" s="663"/>
      <c r="Q220" s="142" t="str">
        <f>C216</f>
        <v>Dybstrøelse + kort ædeplads med fast gulv</v>
      </c>
      <c r="R220" s="142" t="str">
        <f>D216</f>
        <v>Dybstrøelse</v>
      </c>
      <c r="S220" s="561">
        <f t="shared" ref="S220:T220" si="247">E216*$P$219</f>
        <v>9.1</v>
      </c>
      <c r="T220" s="561">
        <f t="shared" si="247"/>
        <v>0</v>
      </c>
      <c r="U220" s="142">
        <f>G216</f>
        <v>1.2</v>
      </c>
      <c r="V220" s="142">
        <f t="shared" ref="V220" si="248">H216</f>
        <v>1.8615000000000002</v>
      </c>
      <c r="W220" s="142">
        <f t="shared" ref="W220" si="249">I216</f>
        <v>353.685</v>
      </c>
      <c r="Y220" s="561">
        <f t="shared" si="246"/>
        <v>62.080000000000013</v>
      </c>
      <c r="AA220" s="142" t="str">
        <f>$O$219&amp;"_"&amp;Q220&amp;" - "&amp;R220</f>
        <v>jt06_Dybstrøelse + kort ædeplads med fast gulv - Dybstrøelse</v>
      </c>
    </row>
    <row r="221" spans="1:27" s="142" customFormat="1" x14ac:dyDescent="0.25">
      <c r="A221" s="146"/>
      <c r="B221" s="147"/>
      <c r="C221" s="148" t="s">
        <v>48</v>
      </c>
      <c r="D221" s="147"/>
      <c r="E221" s="149"/>
      <c r="F221" s="150"/>
      <c r="H221" s="151"/>
      <c r="I221" s="152"/>
      <c r="J221" s="153"/>
      <c r="K221" s="154"/>
      <c r="N221" s="195"/>
      <c r="O221" s="662"/>
      <c r="P221" s="663"/>
      <c r="S221" s="236"/>
      <c r="T221" s="236"/>
      <c r="Y221" s="236"/>
    </row>
    <row r="222" spans="1:27" s="142" customFormat="1" x14ac:dyDescent="0.25">
      <c r="A222" s="153"/>
      <c r="C222" s="156" t="s">
        <v>53</v>
      </c>
      <c r="D222" s="157">
        <f>12.1/E222</f>
        <v>0.65760869565217395</v>
      </c>
      <c r="E222" s="158">
        <v>18.399999999999999</v>
      </c>
      <c r="F222" s="159">
        <f>E222*D222</f>
        <v>12.1</v>
      </c>
      <c r="H222" s="151"/>
      <c r="I222" s="152"/>
      <c r="J222" s="160">
        <v>2.16</v>
      </c>
      <c r="K222" s="161">
        <f>J222*1000*0.08*0.8</f>
        <v>138.24</v>
      </c>
      <c r="M222" s="142" t="str">
        <f>C221</f>
        <v>Ungtyre, 6 mdr. til slagtning (328 kg), Jersey, (1 produceret ungtyr)</v>
      </c>
      <c r="N222" s="475" t="str">
        <f>C221</f>
        <v>Ungtyre, 6 mdr. til slagtning (328 kg), Jersey, (1 produceret ungtyr)</v>
      </c>
      <c r="O222" s="662"/>
      <c r="P222" s="663"/>
      <c r="Q222" s="155" t="s">
        <v>466</v>
      </c>
      <c r="R222" s="261"/>
      <c r="S222" s="561">
        <f>E222*$P$223</f>
        <v>27.285157393258427</v>
      </c>
      <c r="T222" s="561">
        <f>F222*$P$223</f>
        <v>17.942956764044943</v>
      </c>
      <c r="Y222" s="561">
        <f>K222*$P$223</f>
        <v>204.99457380674161</v>
      </c>
    </row>
    <row r="223" spans="1:27" s="142" customFormat="1" x14ac:dyDescent="0.25">
      <c r="A223" s="153">
        <v>1235</v>
      </c>
      <c r="B223" s="142">
        <v>1</v>
      </c>
      <c r="C223" s="142" t="s">
        <v>21</v>
      </c>
      <c r="D223" s="162" t="s">
        <v>32</v>
      </c>
      <c r="E223" s="165">
        <f>$E$222*0.6</f>
        <v>11.04</v>
      </c>
      <c r="F223" s="166">
        <f>$F$222*0.6</f>
        <v>7.26</v>
      </c>
      <c r="G223" s="142">
        <v>0.6</v>
      </c>
      <c r="H223" s="151">
        <f>G223*0.85*365*$H$5</f>
        <v>0.93075000000000008</v>
      </c>
      <c r="I223" s="152">
        <f t="shared" si="65"/>
        <v>176.8425</v>
      </c>
      <c r="J223" s="153"/>
      <c r="K223" s="166"/>
      <c r="M223" s="142" t="str">
        <f>C223&amp;" - "&amp;D223</f>
        <v>Bindestald med grebning - fast gødning</v>
      </c>
      <c r="N223" s="195" t="s">
        <v>211</v>
      </c>
      <c r="O223" s="662" t="s">
        <v>291</v>
      </c>
      <c r="P223" s="663">
        <f>(2.308 * (394 -152) + 0.00676 * (394^2 - 152^2)) / 979</f>
        <v>1.4828889887640451</v>
      </c>
      <c r="Q223" s="142" t="str">
        <f>C223</f>
        <v>Bindestald med grebning</v>
      </c>
      <c r="R223" s="142" t="str">
        <f>D223</f>
        <v>fast gødning</v>
      </c>
      <c r="S223" s="561">
        <f>E223*$P$223</f>
        <v>16.371094435955055</v>
      </c>
      <c r="T223" s="561">
        <f>F223*$P$223</f>
        <v>10.765774058426967</v>
      </c>
      <c r="U223" s="142">
        <f t="shared" ref="U223" si="250">G223</f>
        <v>0.6</v>
      </c>
      <c r="V223" s="142">
        <f t="shared" ref="V223" si="251">H223</f>
        <v>0.93075000000000008</v>
      </c>
      <c r="W223" s="142">
        <f t="shared" ref="W223" si="252">I223</f>
        <v>176.8425</v>
      </c>
      <c r="Y223" s="561">
        <f>K223*$P$223</f>
        <v>0</v>
      </c>
      <c r="AA223" s="142" t="str">
        <f>$O$223&amp;"_"&amp;Q223&amp;" - "&amp;R223</f>
        <v>jtu12_Bindestald med grebning - fast gødning</v>
      </c>
    </row>
    <row r="224" spans="1:27" s="142" customFormat="1" x14ac:dyDescent="0.25">
      <c r="A224" s="153">
        <v>1235</v>
      </c>
      <c r="B224" s="142">
        <v>1</v>
      </c>
      <c r="C224" s="142" t="s">
        <v>21</v>
      </c>
      <c r="D224" s="162" t="s">
        <v>33</v>
      </c>
      <c r="E224" s="165">
        <f>$E$222*0.4</f>
        <v>7.3599999999999994</v>
      </c>
      <c r="F224" s="166">
        <f>$F$222*0.4</f>
        <v>4.84</v>
      </c>
      <c r="H224" s="151"/>
      <c r="I224" s="152">
        <f t="shared" si="65"/>
        <v>0</v>
      </c>
      <c r="J224" s="153"/>
      <c r="K224" s="166"/>
      <c r="M224" s="142" t="str">
        <f t="shared" ref="M224:M238" si="253">C224&amp;" - "&amp;D224</f>
        <v>Bindestald med grebning - ajle</v>
      </c>
      <c r="N224" s="195" t="s">
        <v>213</v>
      </c>
      <c r="O224" s="664" t="s">
        <v>414</v>
      </c>
      <c r="P224" s="663"/>
      <c r="Q224" s="142" t="str">
        <f t="shared" ref="Q224:Q238" si="254">C224</f>
        <v>Bindestald med grebning</v>
      </c>
      <c r="R224" s="142" t="str">
        <f t="shared" ref="R224:R238" si="255">D224</f>
        <v>ajle</v>
      </c>
      <c r="S224" s="561">
        <f t="shared" ref="S224:S238" si="256">E224*$P$223</f>
        <v>10.91406295730337</v>
      </c>
      <c r="T224" s="561">
        <f t="shared" ref="T224:T238" si="257">F224*$P$223</f>
        <v>7.1771827056179776</v>
      </c>
      <c r="U224" s="142">
        <f t="shared" ref="U224:U238" si="258">G224</f>
        <v>0</v>
      </c>
      <c r="V224" s="142">
        <f t="shared" ref="V224:V238" si="259">H224</f>
        <v>0</v>
      </c>
      <c r="W224" s="142">
        <f t="shared" ref="W224:W238" si="260">I224</f>
        <v>0</v>
      </c>
      <c r="Y224" s="561">
        <f t="shared" ref="Y224:Y238" si="261">K224*$P$223</f>
        <v>0</v>
      </c>
      <c r="AA224" s="142" t="str">
        <f t="shared" ref="AA224:AA238" si="262">$O$223&amp;"_"&amp;Q224&amp;" - "&amp;R224</f>
        <v>jtu12_Bindestald med grebning - ajle</v>
      </c>
    </row>
    <row r="225" spans="1:27" s="142" customFormat="1" x14ac:dyDescent="0.25">
      <c r="A225" s="153">
        <v>1235</v>
      </c>
      <c r="B225" s="142">
        <v>2</v>
      </c>
      <c r="C225" s="142" t="s">
        <v>22</v>
      </c>
      <c r="D225" s="142" t="s">
        <v>23</v>
      </c>
      <c r="E225" s="165">
        <f>$E$222</f>
        <v>18.399999999999999</v>
      </c>
      <c r="F225" s="166">
        <f>$F$222</f>
        <v>12.1</v>
      </c>
      <c r="G225" s="142">
        <v>0.6</v>
      </c>
      <c r="H225" s="151">
        <f t="shared" ref="H225:H232" si="263">G225*0.85*365*$H$5</f>
        <v>0.93075000000000008</v>
      </c>
      <c r="I225" s="152">
        <f t="shared" si="65"/>
        <v>176.8425</v>
      </c>
      <c r="J225" s="153"/>
      <c r="K225" s="166">
        <f>$K$222</f>
        <v>138.24</v>
      </c>
      <c r="M225" s="142" t="str">
        <f t="shared" si="253"/>
        <v>Bindestald med riste - gylle</v>
      </c>
      <c r="N225" s="195" t="s">
        <v>210</v>
      </c>
      <c r="O225" s="662" t="s">
        <v>210</v>
      </c>
      <c r="P225" s="663"/>
      <c r="Q225" s="142" t="str">
        <f t="shared" si="254"/>
        <v>Bindestald med riste</v>
      </c>
      <c r="R225" s="142" t="str">
        <f t="shared" si="255"/>
        <v>gylle</v>
      </c>
      <c r="S225" s="561">
        <f t="shared" si="256"/>
        <v>27.285157393258427</v>
      </c>
      <c r="T225" s="561">
        <f t="shared" si="257"/>
        <v>17.942956764044943</v>
      </c>
      <c r="U225" s="142">
        <f t="shared" si="258"/>
        <v>0.6</v>
      </c>
      <c r="V225" s="142">
        <f t="shared" si="259"/>
        <v>0.93075000000000008</v>
      </c>
      <c r="W225" s="142">
        <f t="shared" si="260"/>
        <v>176.8425</v>
      </c>
      <c r="Y225" s="561">
        <f t="shared" si="261"/>
        <v>204.99457380674161</v>
      </c>
      <c r="AA225" s="142" t="str">
        <f t="shared" si="262"/>
        <v>jtu12_Bindestald med riste - gylle</v>
      </c>
    </row>
    <row r="226" spans="1:27" s="142" customFormat="1" x14ac:dyDescent="0.25">
      <c r="A226" s="153">
        <v>1235</v>
      </c>
      <c r="B226" s="142">
        <v>10</v>
      </c>
      <c r="C226" s="142" t="s">
        <v>7</v>
      </c>
      <c r="D226" s="142" t="s">
        <v>23</v>
      </c>
      <c r="E226" s="165">
        <f t="shared" ref="E226:E238" si="264">$E$222</f>
        <v>18.399999999999999</v>
      </c>
      <c r="F226" s="166">
        <f t="shared" ref="F226:F238" si="265">$F$222</f>
        <v>12.1</v>
      </c>
      <c r="G226" s="142">
        <v>0.2</v>
      </c>
      <c r="H226" s="151">
        <f t="shared" si="263"/>
        <v>0.31025000000000003</v>
      </c>
      <c r="I226" s="152">
        <f t="shared" si="65"/>
        <v>58.947500000000005</v>
      </c>
      <c r="J226" s="153"/>
      <c r="K226" s="166">
        <f t="shared" ref="K226:K231" si="266">$K$222</f>
        <v>138.24</v>
      </c>
      <c r="M226" s="142" t="str">
        <f t="shared" si="253"/>
        <v>Sengestald med fast gulv - gylle</v>
      </c>
      <c r="N226" s="195" t="s">
        <v>210</v>
      </c>
      <c r="O226" s="662" t="s">
        <v>210</v>
      </c>
      <c r="P226" s="663"/>
      <c r="Q226" s="142" t="str">
        <f t="shared" si="254"/>
        <v>Sengestald med fast gulv</v>
      </c>
      <c r="R226" s="142" t="str">
        <f t="shared" si="255"/>
        <v>gylle</v>
      </c>
      <c r="S226" s="561">
        <f t="shared" si="256"/>
        <v>27.285157393258427</v>
      </c>
      <c r="T226" s="561">
        <f t="shared" si="257"/>
        <v>17.942956764044943</v>
      </c>
      <c r="U226" s="142">
        <f t="shared" si="258"/>
        <v>0.2</v>
      </c>
      <c r="V226" s="142">
        <f t="shared" si="259"/>
        <v>0.31025000000000003</v>
      </c>
      <c r="W226" s="142">
        <f t="shared" si="260"/>
        <v>58.947500000000005</v>
      </c>
      <c r="Y226" s="561">
        <f t="shared" si="261"/>
        <v>204.99457380674161</v>
      </c>
      <c r="AA226" s="142" t="str">
        <f t="shared" si="262"/>
        <v>jtu12_Sengestald med fast gulv - gylle</v>
      </c>
    </row>
    <row r="227" spans="1:27" s="142" customFormat="1" x14ac:dyDescent="0.25">
      <c r="A227" s="153">
        <v>1235</v>
      </c>
      <c r="B227" s="142">
        <v>11</v>
      </c>
      <c r="C227" s="142" t="s">
        <v>38</v>
      </c>
      <c r="D227" s="142" t="s">
        <v>23</v>
      </c>
      <c r="E227" s="165">
        <f t="shared" si="264"/>
        <v>18.399999999999999</v>
      </c>
      <c r="F227" s="166">
        <f t="shared" si="265"/>
        <v>12.1</v>
      </c>
      <c r="G227" s="142">
        <v>0.2</v>
      </c>
      <c r="H227" s="151">
        <f t="shared" si="263"/>
        <v>0.31025000000000003</v>
      </c>
      <c r="I227" s="152">
        <f t="shared" si="65"/>
        <v>58.947500000000005</v>
      </c>
      <c r="J227" s="153"/>
      <c r="K227" s="166">
        <f t="shared" si="266"/>
        <v>138.24</v>
      </c>
      <c r="M227" s="142" t="str">
        <f t="shared" si="253"/>
        <v>Sengestald med spaltegulv (kanal, line- spil) - gylle</v>
      </c>
      <c r="N227" s="195" t="s">
        <v>210</v>
      </c>
      <c r="O227" s="662" t="s">
        <v>210</v>
      </c>
      <c r="P227" s="663"/>
      <c r="Q227" s="142" t="str">
        <f t="shared" si="254"/>
        <v>Sengestald med spaltegulv (kanal, line- spil)</v>
      </c>
      <c r="R227" s="142" t="str">
        <f t="shared" si="255"/>
        <v>gylle</v>
      </c>
      <c r="S227" s="561">
        <f t="shared" si="256"/>
        <v>27.285157393258427</v>
      </c>
      <c r="T227" s="561">
        <f t="shared" si="257"/>
        <v>17.942956764044943</v>
      </c>
      <c r="U227" s="142">
        <f t="shared" si="258"/>
        <v>0.2</v>
      </c>
      <c r="V227" s="142">
        <f t="shared" si="259"/>
        <v>0.31025000000000003</v>
      </c>
      <c r="W227" s="142">
        <f t="shared" si="260"/>
        <v>58.947500000000005</v>
      </c>
      <c r="Y227" s="561">
        <f t="shared" si="261"/>
        <v>204.99457380674161</v>
      </c>
      <c r="AA227" s="142" t="str">
        <f t="shared" si="262"/>
        <v>jtu12_Sengestald med spaltegulv (kanal, line- spil) - gylle</v>
      </c>
    </row>
    <row r="228" spans="1:27" s="142" customFormat="1" x14ac:dyDescent="0.25">
      <c r="A228" s="153">
        <v>1235</v>
      </c>
      <c r="B228" s="142">
        <v>12</v>
      </c>
      <c r="C228" s="142" t="s">
        <v>39</v>
      </c>
      <c r="D228" s="142" t="s">
        <v>23</v>
      </c>
      <c r="E228" s="165">
        <f t="shared" si="264"/>
        <v>18.399999999999999</v>
      </c>
      <c r="F228" s="166">
        <f t="shared" si="265"/>
        <v>12.1</v>
      </c>
      <c r="G228" s="142">
        <v>0.2</v>
      </c>
      <c r="H228" s="151">
        <f t="shared" si="263"/>
        <v>0.31025000000000003</v>
      </c>
      <c r="I228" s="152">
        <f t="shared" si="65"/>
        <v>58.947500000000005</v>
      </c>
      <c r="J228" s="153"/>
      <c r="K228" s="166">
        <f t="shared" si="266"/>
        <v>138.24</v>
      </c>
      <c r="M228" s="142" t="str">
        <f t="shared" si="253"/>
        <v>Sengestald med spaltegulv (kanal, bagskyl eller ringkanal) - gylle</v>
      </c>
      <c r="N228" s="195" t="s">
        <v>210</v>
      </c>
      <c r="O228" s="662" t="s">
        <v>210</v>
      </c>
      <c r="P228" s="663"/>
      <c r="Q228" s="142" t="str">
        <f t="shared" si="254"/>
        <v>Sengestald med spaltegulv (kanal, bagskyl eller ringkanal)</v>
      </c>
      <c r="R228" s="142" t="str">
        <f t="shared" si="255"/>
        <v>gylle</v>
      </c>
      <c r="S228" s="561">
        <f t="shared" si="256"/>
        <v>27.285157393258427</v>
      </c>
      <c r="T228" s="561">
        <f t="shared" si="257"/>
        <v>17.942956764044943</v>
      </c>
      <c r="U228" s="142">
        <f t="shared" si="258"/>
        <v>0.2</v>
      </c>
      <c r="V228" s="142">
        <f t="shared" si="259"/>
        <v>0.31025000000000003</v>
      </c>
      <c r="W228" s="142">
        <f t="shared" si="260"/>
        <v>58.947500000000005</v>
      </c>
      <c r="Y228" s="561">
        <f t="shared" si="261"/>
        <v>204.99457380674161</v>
      </c>
      <c r="AA228" s="142" t="str">
        <f t="shared" si="262"/>
        <v>jtu12_Sengestald med spaltegulv (kanal, bagskyl eller ringkanal) - gylle</v>
      </c>
    </row>
    <row r="229" spans="1:27" s="142" customFormat="1" x14ac:dyDescent="0.25">
      <c r="A229" s="153">
        <v>1235</v>
      </c>
      <c r="B229" s="142">
        <v>19</v>
      </c>
      <c r="C229" s="142" t="s">
        <v>42</v>
      </c>
      <c r="D229" s="142" t="s">
        <v>23</v>
      </c>
      <c r="E229" s="165">
        <f t="shared" si="264"/>
        <v>18.399999999999999</v>
      </c>
      <c r="F229" s="166">
        <f t="shared" si="265"/>
        <v>12.1</v>
      </c>
      <c r="G229" s="142">
        <v>0.2</v>
      </c>
      <c r="H229" s="151">
        <f t="shared" si="263"/>
        <v>0.31025000000000003</v>
      </c>
      <c r="I229" s="152">
        <f t="shared" si="65"/>
        <v>58.947500000000005</v>
      </c>
      <c r="J229" s="153"/>
      <c r="K229" s="166">
        <f t="shared" si="266"/>
        <v>138.24</v>
      </c>
      <c r="M229" s="142" t="str">
        <f t="shared" si="253"/>
        <v>Sengestald, fast drænet gulv med skra- ber og ajleafløb *) - gylle</v>
      </c>
      <c r="N229" s="195" t="s">
        <v>210</v>
      </c>
      <c r="O229" s="662" t="s">
        <v>210</v>
      </c>
      <c r="P229" s="663"/>
      <c r="Q229" s="142" t="str">
        <f t="shared" si="254"/>
        <v>Sengestald, fast drænet gulv med skra- ber og ajleafløb *)</v>
      </c>
      <c r="R229" s="142" t="str">
        <f t="shared" si="255"/>
        <v>gylle</v>
      </c>
      <c r="S229" s="561">
        <f t="shared" si="256"/>
        <v>27.285157393258427</v>
      </c>
      <c r="T229" s="561">
        <f t="shared" si="257"/>
        <v>17.942956764044943</v>
      </c>
      <c r="U229" s="142">
        <f t="shared" si="258"/>
        <v>0.2</v>
      </c>
      <c r="V229" s="142">
        <f t="shared" si="259"/>
        <v>0.31025000000000003</v>
      </c>
      <c r="W229" s="142">
        <f t="shared" si="260"/>
        <v>58.947500000000005</v>
      </c>
      <c r="Y229" s="561">
        <f t="shared" si="261"/>
        <v>204.99457380674161</v>
      </c>
      <c r="AA229" s="142" t="str">
        <f t="shared" si="262"/>
        <v>jtu12_Sengestald, fast drænet gulv med skra- ber og ajleafløb *) - gylle</v>
      </c>
    </row>
    <row r="230" spans="1:27" s="142" customFormat="1" x14ac:dyDescent="0.25">
      <c r="A230" s="153">
        <v>1235</v>
      </c>
      <c r="B230" s="142">
        <v>3</v>
      </c>
      <c r="C230" s="142" t="s">
        <v>40</v>
      </c>
      <c r="D230" s="142" t="s">
        <v>27</v>
      </c>
      <c r="E230" s="165">
        <f t="shared" si="264"/>
        <v>18.399999999999999</v>
      </c>
      <c r="F230" s="166"/>
      <c r="G230" s="142">
        <v>2.9</v>
      </c>
      <c r="H230" s="151">
        <f t="shared" si="263"/>
        <v>4.4986249999999997</v>
      </c>
      <c r="I230" s="152">
        <f t="shared" si="65"/>
        <v>854.73874999999987</v>
      </c>
      <c r="J230" s="153"/>
      <c r="K230" s="166">
        <f t="shared" si="266"/>
        <v>138.24</v>
      </c>
      <c r="M230" s="142" t="str">
        <f t="shared" si="253"/>
        <v>Dybstrøelse, hele arealet - dybstrøelse</v>
      </c>
      <c r="N230" s="195" t="s">
        <v>210</v>
      </c>
      <c r="O230" s="662" t="s">
        <v>210</v>
      </c>
      <c r="P230" s="663"/>
      <c r="Q230" s="142" t="str">
        <f t="shared" si="254"/>
        <v>Dybstrøelse, hele arealet</v>
      </c>
      <c r="R230" s="142" t="str">
        <f t="shared" si="255"/>
        <v>dybstrøelse</v>
      </c>
      <c r="S230" s="561">
        <f t="shared" si="256"/>
        <v>27.285157393258427</v>
      </c>
      <c r="T230" s="561">
        <f t="shared" si="257"/>
        <v>0</v>
      </c>
      <c r="U230" s="142">
        <f t="shared" si="258"/>
        <v>2.9</v>
      </c>
      <c r="V230" s="142">
        <f t="shared" si="259"/>
        <v>4.4986249999999997</v>
      </c>
      <c r="W230" s="142">
        <f t="shared" si="260"/>
        <v>854.73874999999987</v>
      </c>
      <c r="Y230" s="561">
        <f t="shared" si="261"/>
        <v>204.99457380674161</v>
      </c>
      <c r="AA230" s="142" t="str">
        <f t="shared" si="262"/>
        <v>jtu12_Dybstrøelse, hele arealet - dybstrøelse</v>
      </c>
    </row>
    <row r="231" spans="1:27" s="142" customFormat="1" x14ac:dyDescent="0.25">
      <c r="A231" s="153">
        <v>1235</v>
      </c>
      <c r="B231" s="142">
        <v>4</v>
      </c>
      <c r="C231" s="142" t="s">
        <v>36</v>
      </c>
      <c r="D231" s="162" t="s">
        <v>27</v>
      </c>
      <c r="E231" s="165">
        <f t="shared" si="264"/>
        <v>18.399999999999999</v>
      </c>
      <c r="F231" s="166"/>
      <c r="G231" s="142">
        <v>2.4</v>
      </c>
      <c r="H231" s="151">
        <f t="shared" si="263"/>
        <v>3.7230000000000003</v>
      </c>
      <c r="I231" s="152">
        <f t="shared" si="65"/>
        <v>707.37</v>
      </c>
      <c r="J231" s="153"/>
      <c r="K231" s="166">
        <f t="shared" si="266"/>
        <v>138.24</v>
      </c>
      <c r="M231" s="142" t="str">
        <f t="shared" si="253"/>
        <v>Dybstrøelse + kort ædeplads med fast gulv - dybstrøelse</v>
      </c>
      <c r="N231" s="195" t="s">
        <v>210</v>
      </c>
      <c r="O231" s="662" t="s">
        <v>210</v>
      </c>
      <c r="P231" s="663"/>
      <c r="Q231" s="142" t="str">
        <f t="shared" si="254"/>
        <v>Dybstrøelse + kort ædeplads med fast gulv</v>
      </c>
      <c r="R231" s="142" t="str">
        <f t="shared" si="255"/>
        <v>dybstrøelse</v>
      </c>
      <c r="S231" s="561">
        <f t="shared" si="256"/>
        <v>27.285157393258427</v>
      </c>
      <c r="T231" s="561">
        <f t="shared" si="257"/>
        <v>0</v>
      </c>
      <c r="U231" s="142">
        <f t="shared" si="258"/>
        <v>2.4</v>
      </c>
      <c r="V231" s="142">
        <f t="shared" si="259"/>
        <v>3.7230000000000003</v>
      </c>
      <c r="W231" s="142">
        <f t="shared" si="260"/>
        <v>707.37</v>
      </c>
      <c r="Y231" s="561">
        <f t="shared" si="261"/>
        <v>204.99457380674161</v>
      </c>
      <c r="AA231" s="142" t="str">
        <f t="shared" si="262"/>
        <v>jtu12_Dybstrøelse + kort ædeplads med fast gulv - dybstrøelse</v>
      </c>
    </row>
    <row r="232" spans="1:27" s="142" customFormat="1" x14ac:dyDescent="0.25">
      <c r="A232" s="153">
        <v>1235</v>
      </c>
      <c r="B232" s="142">
        <v>5</v>
      </c>
      <c r="C232" s="142" t="s">
        <v>28</v>
      </c>
      <c r="D232" s="162" t="s">
        <v>27</v>
      </c>
      <c r="E232" s="165">
        <f>$E$222*0.6</f>
        <v>11.04</v>
      </c>
      <c r="F232" s="166"/>
      <c r="G232" s="142">
        <v>2.2999999999999998</v>
      </c>
      <c r="H232" s="151">
        <f t="shared" si="263"/>
        <v>3.5678749999999999</v>
      </c>
      <c r="I232" s="152">
        <f t="shared" si="65"/>
        <v>677.8962499999999</v>
      </c>
      <c r="J232" s="153"/>
      <c r="K232" s="166">
        <f>$K$222*0.6</f>
        <v>82.944000000000003</v>
      </c>
      <c r="M232" s="142" t="str">
        <f t="shared" si="253"/>
        <v>Dybstrøelse, lang ædeplads med fast gulv - dybstrøelse</v>
      </c>
      <c r="N232" s="195" t="s">
        <v>210</v>
      </c>
      <c r="O232" s="662" t="s">
        <v>210</v>
      </c>
      <c r="P232" s="663"/>
      <c r="Q232" s="142" t="str">
        <f t="shared" si="254"/>
        <v>Dybstrøelse, lang ædeplads med fast gulv</v>
      </c>
      <c r="R232" s="142" t="str">
        <f t="shared" si="255"/>
        <v>dybstrøelse</v>
      </c>
      <c r="S232" s="561">
        <f t="shared" si="256"/>
        <v>16.371094435955055</v>
      </c>
      <c r="T232" s="561">
        <f t="shared" si="257"/>
        <v>0</v>
      </c>
      <c r="U232" s="142">
        <f t="shared" si="258"/>
        <v>2.2999999999999998</v>
      </c>
      <c r="V232" s="142">
        <f t="shared" si="259"/>
        <v>3.5678749999999999</v>
      </c>
      <c r="W232" s="142">
        <f t="shared" si="260"/>
        <v>677.8962499999999</v>
      </c>
      <c r="Y232" s="561">
        <f t="shared" si="261"/>
        <v>122.99674428404496</v>
      </c>
      <c r="AA232" s="142" t="str">
        <f t="shared" si="262"/>
        <v>jtu12_Dybstrøelse, lang ædeplads med fast gulv - dybstrøelse</v>
      </c>
    </row>
    <row r="233" spans="1:27" s="142" customFormat="1" x14ac:dyDescent="0.25">
      <c r="A233" s="153">
        <v>1235</v>
      </c>
      <c r="B233" s="142">
        <v>5</v>
      </c>
      <c r="C233" s="142" t="s">
        <v>28</v>
      </c>
      <c r="D233" s="162" t="s">
        <v>23</v>
      </c>
      <c r="E233" s="165">
        <f>$E$222*0.4</f>
        <v>7.3599999999999994</v>
      </c>
      <c r="F233" s="166">
        <f>$F$222*0.4</f>
        <v>4.84</v>
      </c>
      <c r="H233" s="151"/>
      <c r="I233" s="152">
        <f t="shared" si="65"/>
        <v>0</v>
      </c>
      <c r="J233" s="153"/>
      <c r="K233" s="166">
        <f>$K$222*0.4</f>
        <v>55.296000000000006</v>
      </c>
      <c r="M233" s="142" t="str">
        <f t="shared" si="253"/>
        <v>Dybstrøelse, lang ædeplads med fast gulv - gylle</v>
      </c>
      <c r="N233" s="195" t="s">
        <v>210</v>
      </c>
      <c r="O233" s="662" t="s">
        <v>210</v>
      </c>
      <c r="P233" s="663"/>
      <c r="Q233" s="142" t="str">
        <f t="shared" si="254"/>
        <v>Dybstrøelse, lang ædeplads med fast gulv</v>
      </c>
      <c r="R233" s="142" t="str">
        <f t="shared" si="255"/>
        <v>gylle</v>
      </c>
      <c r="S233" s="561">
        <f t="shared" si="256"/>
        <v>10.91406295730337</v>
      </c>
      <c r="T233" s="561">
        <f t="shared" si="257"/>
        <v>7.1771827056179776</v>
      </c>
      <c r="U233" s="142">
        <f t="shared" si="258"/>
        <v>0</v>
      </c>
      <c r="V233" s="142">
        <f t="shared" si="259"/>
        <v>0</v>
      </c>
      <c r="W233" s="142">
        <f t="shared" si="260"/>
        <v>0</v>
      </c>
      <c r="Y233" s="561">
        <f t="shared" si="261"/>
        <v>81.997829522696648</v>
      </c>
      <c r="AA233" s="142" t="str">
        <f t="shared" si="262"/>
        <v>jtu12_Dybstrøelse, lang ædeplads med fast gulv - gylle</v>
      </c>
    </row>
    <row r="234" spans="1:27" s="142" customFormat="1" x14ac:dyDescent="0.25">
      <c r="A234" s="153">
        <v>1235</v>
      </c>
      <c r="B234" s="142">
        <v>6</v>
      </c>
      <c r="C234" s="142" t="s">
        <v>29</v>
      </c>
      <c r="D234" s="162" t="s">
        <v>27</v>
      </c>
      <c r="E234" s="165">
        <f>$E$222*0.6</f>
        <v>11.04</v>
      </c>
      <c r="F234" s="166"/>
      <c r="G234" s="142">
        <v>2.2999999999999998</v>
      </c>
      <c r="H234" s="151">
        <f>G234*0.85*365*$H$5</f>
        <v>3.5678749999999999</v>
      </c>
      <c r="I234" s="152">
        <f t="shared" si="65"/>
        <v>677.8962499999999</v>
      </c>
      <c r="J234" s="153"/>
      <c r="K234" s="166">
        <f>$K$222*0.6</f>
        <v>82.944000000000003</v>
      </c>
      <c r="M234" s="142" t="str">
        <f t="shared" si="253"/>
        <v>Dybstrøelse, lang ædeplads med spalter (kanal, linespil) - dybstrøelse</v>
      </c>
      <c r="N234" s="195" t="s">
        <v>210</v>
      </c>
      <c r="O234" s="662" t="s">
        <v>210</v>
      </c>
      <c r="P234" s="663"/>
      <c r="Q234" s="142" t="str">
        <f t="shared" si="254"/>
        <v>Dybstrøelse, lang ædeplads med spalter (kanal, linespil)</v>
      </c>
      <c r="R234" s="142" t="str">
        <f t="shared" si="255"/>
        <v>dybstrøelse</v>
      </c>
      <c r="S234" s="561">
        <f t="shared" si="256"/>
        <v>16.371094435955055</v>
      </c>
      <c r="T234" s="561">
        <f t="shared" si="257"/>
        <v>0</v>
      </c>
      <c r="U234" s="142">
        <f t="shared" si="258"/>
        <v>2.2999999999999998</v>
      </c>
      <c r="V234" s="142">
        <f t="shared" si="259"/>
        <v>3.5678749999999999</v>
      </c>
      <c r="W234" s="142">
        <f t="shared" si="260"/>
        <v>677.8962499999999</v>
      </c>
      <c r="Y234" s="561">
        <f t="shared" si="261"/>
        <v>122.99674428404496</v>
      </c>
      <c r="AA234" s="142" t="str">
        <f t="shared" si="262"/>
        <v>jtu12_Dybstrøelse, lang ædeplads med spalter (kanal, linespil) - dybstrøelse</v>
      </c>
    </row>
    <row r="235" spans="1:27" s="142" customFormat="1" x14ac:dyDescent="0.25">
      <c r="A235" s="153">
        <v>1235</v>
      </c>
      <c r="B235" s="142">
        <v>6</v>
      </c>
      <c r="C235" s="142" t="s">
        <v>29</v>
      </c>
      <c r="D235" s="162" t="s">
        <v>23</v>
      </c>
      <c r="E235" s="165">
        <f>$E$222*0.4</f>
        <v>7.3599999999999994</v>
      </c>
      <c r="F235" s="166">
        <f>$F$222*0.4</f>
        <v>4.84</v>
      </c>
      <c r="H235" s="151"/>
      <c r="I235" s="152">
        <f t="shared" si="65"/>
        <v>0</v>
      </c>
      <c r="J235" s="153"/>
      <c r="K235" s="166">
        <f>$K$222*0.4</f>
        <v>55.296000000000006</v>
      </c>
      <c r="M235" s="142" t="str">
        <f t="shared" si="253"/>
        <v>Dybstrøelse, lang ædeplads med spalter (kanal, linespil) - gylle</v>
      </c>
      <c r="N235" s="195" t="s">
        <v>210</v>
      </c>
      <c r="O235" s="662" t="s">
        <v>210</v>
      </c>
      <c r="P235" s="663"/>
      <c r="Q235" s="142" t="str">
        <f t="shared" si="254"/>
        <v>Dybstrøelse, lang ædeplads med spalter (kanal, linespil)</v>
      </c>
      <c r="R235" s="142" t="str">
        <f t="shared" si="255"/>
        <v>gylle</v>
      </c>
      <c r="S235" s="561">
        <f t="shared" si="256"/>
        <v>10.91406295730337</v>
      </c>
      <c r="T235" s="561">
        <f t="shared" si="257"/>
        <v>7.1771827056179776</v>
      </c>
      <c r="U235" s="142">
        <f t="shared" si="258"/>
        <v>0</v>
      </c>
      <c r="V235" s="142">
        <f t="shared" si="259"/>
        <v>0</v>
      </c>
      <c r="W235" s="142">
        <f t="shared" si="260"/>
        <v>0</v>
      </c>
      <c r="Y235" s="561">
        <f t="shared" si="261"/>
        <v>81.997829522696648</v>
      </c>
      <c r="AA235" s="142" t="str">
        <f t="shared" si="262"/>
        <v>jtu12_Dybstrøelse, lang ædeplads med spalter (kanal, linespil) - gylle</v>
      </c>
    </row>
    <row r="236" spans="1:27" s="142" customFormat="1" x14ac:dyDescent="0.25">
      <c r="A236" s="153">
        <v>1235</v>
      </c>
      <c r="B236" s="142">
        <v>7</v>
      </c>
      <c r="C236" s="142" t="s">
        <v>30</v>
      </c>
      <c r="D236" s="162" t="s">
        <v>27</v>
      </c>
      <c r="E236" s="165">
        <f>$E$222*0.6</f>
        <v>11.04</v>
      </c>
      <c r="F236" s="166"/>
      <c r="G236" s="142">
        <v>2.2999999999999998</v>
      </c>
      <c r="H236" s="151">
        <f>G236*0.85*365*$H$5</f>
        <v>3.5678749999999999</v>
      </c>
      <c r="I236" s="152">
        <f t="shared" si="65"/>
        <v>677.8962499999999</v>
      </c>
      <c r="J236" s="153"/>
      <c r="K236" s="166">
        <f>$K$222*0.6</f>
        <v>82.944000000000003</v>
      </c>
      <c r="M236" s="142" t="str">
        <f t="shared" si="253"/>
        <v>Dybstrøelse, lang ædeplads med spalter (kanal, bagskyl eller ringkanal) - dybstrøelse</v>
      </c>
      <c r="N236" s="195" t="s">
        <v>210</v>
      </c>
      <c r="O236" s="662" t="s">
        <v>210</v>
      </c>
      <c r="P236" s="663"/>
      <c r="Q236" s="142" t="str">
        <f t="shared" si="254"/>
        <v>Dybstrøelse, lang ædeplads med spalter (kanal, bagskyl eller ringkanal)</v>
      </c>
      <c r="R236" s="142" t="str">
        <f t="shared" si="255"/>
        <v>dybstrøelse</v>
      </c>
      <c r="S236" s="561">
        <f t="shared" si="256"/>
        <v>16.371094435955055</v>
      </c>
      <c r="T236" s="561">
        <f t="shared" si="257"/>
        <v>0</v>
      </c>
      <c r="U236" s="142">
        <f t="shared" si="258"/>
        <v>2.2999999999999998</v>
      </c>
      <c r="V236" s="142">
        <f t="shared" si="259"/>
        <v>3.5678749999999999</v>
      </c>
      <c r="W236" s="142">
        <f t="shared" si="260"/>
        <v>677.8962499999999</v>
      </c>
      <c r="Y236" s="561">
        <f t="shared" si="261"/>
        <v>122.99674428404496</v>
      </c>
      <c r="AA236" s="142" t="str">
        <f t="shared" si="262"/>
        <v>jtu12_Dybstrøelse, lang ædeplads med spalter (kanal, bagskyl eller ringkanal) - dybstrøelse</v>
      </c>
    </row>
    <row r="237" spans="1:27" s="142" customFormat="1" x14ac:dyDescent="0.25">
      <c r="A237" s="153">
        <v>1235</v>
      </c>
      <c r="B237" s="142">
        <v>7</v>
      </c>
      <c r="C237" s="142" t="s">
        <v>30</v>
      </c>
      <c r="D237" s="162" t="s">
        <v>23</v>
      </c>
      <c r="E237" s="165">
        <f>$E$222*0.4</f>
        <v>7.3599999999999994</v>
      </c>
      <c r="F237" s="166">
        <f>$F$222*0.4</f>
        <v>4.84</v>
      </c>
      <c r="H237" s="151"/>
      <c r="I237" s="152">
        <f t="shared" si="65"/>
        <v>0</v>
      </c>
      <c r="J237" s="153"/>
      <c r="K237" s="166">
        <f>$K$222*0.4</f>
        <v>55.296000000000006</v>
      </c>
      <c r="M237" s="142" t="str">
        <f t="shared" si="253"/>
        <v>Dybstrøelse, lang ædeplads med spalter (kanal, bagskyl eller ringkanal) - gylle</v>
      </c>
      <c r="N237" s="195" t="s">
        <v>210</v>
      </c>
      <c r="O237" s="662" t="s">
        <v>210</v>
      </c>
      <c r="P237" s="663"/>
      <c r="Q237" s="142" t="str">
        <f t="shared" si="254"/>
        <v>Dybstrøelse, lang ædeplads med spalter (kanal, bagskyl eller ringkanal)</v>
      </c>
      <c r="R237" s="142" t="str">
        <f t="shared" si="255"/>
        <v>gylle</v>
      </c>
      <c r="S237" s="561">
        <f t="shared" si="256"/>
        <v>10.91406295730337</v>
      </c>
      <c r="T237" s="561">
        <f t="shared" si="257"/>
        <v>7.1771827056179776</v>
      </c>
      <c r="U237" s="142">
        <f t="shared" si="258"/>
        <v>0</v>
      </c>
      <c r="V237" s="142">
        <f t="shared" si="259"/>
        <v>0</v>
      </c>
      <c r="W237" s="142">
        <f t="shared" si="260"/>
        <v>0</v>
      </c>
      <c r="Y237" s="561">
        <f t="shared" si="261"/>
        <v>81.997829522696648</v>
      </c>
      <c r="AA237" s="142" t="str">
        <f t="shared" si="262"/>
        <v>jtu12_Dybstrøelse, lang ædeplads med spalter (kanal, bagskyl eller ringkanal) - gylle</v>
      </c>
    </row>
    <row r="238" spans="1:27" s="142" customFormat="1" x14ac:dyDescent="0.25">
      <c r="A238" s="153">
        <v>1235</v>
      </c>
      <c r="B238" s="170">
        <v>9</v>
      </c>
      <c r="C238" s="170" t="s">
        <v>41</v>
      </c>
      <c r="D238" s="172" t="s">
        <v>23</v>
      </c>
      <c r="E238" s="165">
        <f t="shared" si="264"/>
        <v>18.399999999999999</v>
      </c>
      <c r="F238" s="166">
        <f t="shared" si="265"/>
        <v>12.1</v>
      </c>
      <c r="H238" s="151"/>
      <c r="I238" s="152">
        <f t="shared" si="65"/>
        <v>0</v>
      </c>
      <c r="J238" s="153"/>
      <c r="K238" s="166">
        <f>$K$222</f>
        <v>138.24</v>
      </c>
      <c r="M238" s="142" t="str">
        <f t="shared" si="253"/>
        <v>Spaltegulvbokse - gylle</v>
      </c>
      <c r="N238" s="195" t="s">
        <v>210</v>
      </c>
      <c r="O238" s="662" t="s">
        <v>210</v>
      </c>
      <c r="P238" s="663"/>
      <c r="Q238" s="142" t="str">
        <f t="shared" si="254"/>
        <v>Spaltegulvbokse</v>
      </c>
      <c r="R238" s="142" t="str">
        <f t="shared" si="255"/>
        <v>gylle</v>
      </c>
      <c r="S238" s="561">
        <f t="shared" si="256"/>
        <v>27.285157393258427</v>
      </c>
      <c r="T238" s="561">
        <f t="shared" si="257"/>
        <v>17.942956764044943</v>
      </c>
      <c r="U238" s="142">
        <f t="shared" si="258"/>
        <v>0</v>
      </c>
      <c r="V238" s="142">
        <f t="shared" si="259"/>
        <v>0</v>
      </c>
      <c r="W238" s="142">
        <f t="shared" si="260"/>
        <v>0</v>
      </c>
      <c r="Y238" s="561">
        <f t="shared" si="261"/>
        <v>204.99457380674161</v>
      </c>
      <c r="AA238" s="142" t="str">
        <f t="shared" si="262"/>
        <v>jtu12_Spaltegulvbokse - gylle</v>
      </c>
    </row>
    <row r="239" spans="1:27" s="142" customFormat="1" x14ac:dyDescent="0.25">
      <c r="A239" s="153"/>
      <c r="B239" s="262"/>
      <c r="C239" s="262"/>
      <c r="D239" s="263"/>
      <c r="E239" s="165"/>
      <c r="F239" s="166"/>
      <c r="H239" s="151"/>
      <c r="I239" s="152"/>
      <c r="J239" s="153"/>
      <c r="K239" s="166"/>
      <c r="N239" s="195" t="s">
        <v>210</v>
      </c>
      <c r="O239" s="662"/>
      <c r="P239" s="663"/>
      <c r="S239" s="561"/>
      <c r="T239" s="561"/>
      <c r="Y239" s="561"/>
    </row>
    <row r="240" spans="1:27" s="142" customFormat="1" x14ac:dyDescent="0.25">
      <c r="A240" s="153"/>
      <c r="B240" s="262"/>
      <c r="C240" s="262"/>
      <c r="D240" s="263"/>
      <c r="E240" s="165"/>
      <c r="F240" s="166"/>
      <c r="H240" s="151"/>
      <c r="I240" s="152"/>
      <c r="J240" s="153"/>
      <c r="K240" s="166"/>
      <c r="N240" s="475" t="str">
        <f>C221</f>
        <v>Ungtyre, 6 mdr. til slagtning (328 kg), Jersey, (1 produceret ungtyr)</v>
      </c>
      <c r="O240" s="662"/>
      <c r="P240" s="663"/>
      <c r="Q240" s="155" t="s">
        <v>465</v>
      </c>
      <c r="R240" s="261"/>
      <c r="S240" s="561">
        <f>E222*$P$241</f>
        <v>36.670247485188966</v>
      </c>
      <c r="T240" s="561">
        <f>F222*$P$241</f>
        <v>24.114673617977527</v>
      </c>
      <c r="Y240" s="561">
        <f>K222*$P$241</f>
        <v>275.50516371481103</v>
      </c>
    </row>
    <row r="241" spans="1:27" s="142" customFormat="1" x14ac:dyDescent="0.25">
      <c r="A241" s="153"/>
      <c r="B241" s="262"/>
      <c r="C241" s="262"/>
      <c r="D241" s="263"/>
      <c r="E241" s="165"/>
      <c r="F241" s="166"/>
      <c r="H241" s="151"/>
      <c r="I241" s="152"/>
      <c r="J241" s="153"/>
      <c r="K241" s="166"/>
      <c r="N241" s="195" t="s">
        <v>211</v>
      </c>
      <c r="O241" s="662" t="s">
        <v>292</v>
      </c>
      <c r="P241" s="663">
        <f>(2.308 * (456 -152) + 0.00676 * (456^2 - 152^2)) / 979</f>
        <v>1.9929482328907049</v>
      </c>
      <c r="Q241" s="142" t="str">
        <f>C223</f>
        <v>Bindestald med grebning</v>
      </c>
      <c r="R241" s="142" t="str">
        <f>D223</f>
        <v>fast gødning</v>
      </c>
      <c r="S241" s="561">
        <f t="shared" ref="S241:T241" si="267">E223*$P$241</f>
        <v>22.002148491113381</v>
      </c>
      <c r="T241" s="561">
        <f t="shared" si="267"/>
        <v>14.468804170786518</v>
      </c>
      <c r="U241" s="142">
        <f>G223</f>
        <v>0.6</v>
      </c>
      <c r="V241" s="142">
        <f t="shared" ref="V241:W241" si="268">H223</f>
        <v>0.93075000000000008</v>
      </c>
      <c r="W241" s="142">
        <f t="shared" si="268"/>
        <v>176.8425</v>
      </c>
      <c r="Y241" s="561">
        <f t="shared" ref="Y241:Y256" si="269">K223*$P$241</f>
        <v>0</v>
      </c>
      <c r="AA241" s="142" t="str">
        <f>$O$241&amp;"_"&amp;Q241&amp;" - "&amp;R241</f>
        <v>jto12_Bindestald med grebning - fast gødning</v>
      </c>
    </row>
    <row r="242" spans="1:27" s="142" customFormat="1" x14ac:dyDescent="0.25">
      <c r="A242" s="153"/>
      <c r="B242" s="262"/>
      <c r="C242" s="262"/>
      <c r="D242" s="263"/>
      <c r="E242" s="165"/>
      <c r="F242" s="166"/>
      <c r="H242" s="151"/>
      <c r="I242" s="152"/>
      <c r="J242" s="153"/>
      <c r="K242" s="166"/>
      <c r="N242" s="195" t="s">
        <v>213</v>
      </c>
      <c r="O242" s="664" t="s">
        <v>415</v>
      </c>
      <c r="P242" s="663"/>
      <c r="Q242" s="142" t="str">
        <f t="shared" ref="Q242:R242" si="270">C224</f>
        <v>Bindestald med grebning</v>
      </c>
      <c r="R242" s="142" t="str">
        <f t="shared" si="270"/>
        <v>ajle</v>
      </c>
      <c r="S242" s="561">
        <f t="shared" ref="S242:T242" si="271">E224*$P$241</f>
        <v>14.668098994075587</v>
      </c>
      <c r="T242" s="561">
        <f t="shared" si="271"/>
        <v>9.6458694471910107</v>
      </c>
      <c r="U242" s="142">
        <f t="shared" ref="U242:U256" si="272">G224</f>
        <v>0</v>
      </c>
      <c r="V242" s="142">
        <f t="shared" ref="V242:V256" si="273">H224</f>
        <v>0</v>
      </c>
      <c r="W242" s="142">
        <f t="shared" ref="W242:W256" si="274">I224</f>
        <v>0</v>
      </c>
      <c r="Y242" s="561">
        <f t="shared" si="269"/>
        <v>0</v>
      </c>
      <c r="AA242" s="142" t="str">
        <f t="shared" ref="AA242:AA256" si="275">$O$241&amp;"_"&amp;Q242&amp;" - "&amp;R242</f>
        <v>jto12_Bindestald med grebning - ajle</v>
      </c>
    </row>
    <row r="243" spans="1:27" s="142" customFormat="1" x14ac:dyDescent="0.25">
      <c r="A243" s="153"/>
      <c r="B243" s="262"/>
      <c r="C243" s="262"/>
      <c r="D243" s="263"/>
      <c r="E243" s="165"/>
      <c r="F243" s="166"/>
      <c r="H243" s="151"/>
      <c r="I243" s="152"/>
      <c r="J243" s="153"/>
      <c r="K243" s="166"/>
      <c r="N243" s="195"/>
      <c r="O243" s="662"/>
      <c r="P243" s="663"/>
      <c r="Q243" s="142" t="str">
        <f t="shared" ref="Q243:R243" si="276">C225</f>
        <v>Bindestald med riste</v>
      </c>
      <c r="R243" s="142" t="str">
        <f t="shared" si="276"/>
        <v>gylle</v>
      </c>
      <c r="S243" s="561">
        <f t="shared" ref="S243:T243" si="277">E225*$P$241</f>
        <v>36.670247485188966</v>
      </c>
      <c r="T243" s="561">
        <f t="shared" si="277"/>
        <v>24.114673617977527</v>
      </c>
      <c r="U243" s="142">
        <f t="shared" si="272"/>
        <v>0.6</v>
      </c>
      <c r="V243" s="142">
        <f t="shared" si="273"/>
        <v>0.93075000000000008</v>
      </c>
      <c r="W243" s="142">
        <f t="shared" si="274"/>
        <v>176.8425</v>
      </c>
      <c r="Y243" s="561">
        <f t="shared" si="269"/>
        <v>275.50516371481103</v>
      </c>
      <c r="AA243" s="142" t="str">
        <f t="shared" si="275"/>
        <v>jto12_Bindestald med riste - gylle</v>
      </c>
    </row>
    <row r="244" spans="1:27" s="142" customFormat="1" x14ac:dyDescent="0.25">
      <c r="A244" s="153"/>
      <c r="B244" s="262"/>
      <c r="C244" s="262"/>
      <c r="D244" s="263"/>
      <c r="E244" s="165"/>
      <c r="F244" s="166"/>
      <c r="H244" s="151"/>
      <c r="I244" s="152"/>
      <c r="J244" s="153"/>
      <c r="K244" s="166"/>
      <c r="N244" s="195"/>
      <c r="O244" s="662"/>
      <c r="P244" s="663"/>
      <c r="Q244" s="142" t="str">
        <f t="shared" ref="Q244:R244" si="278">C226</f>
        <v>Sengestald med fast gulv</v>
      </c>
      <c r="R244" s="142" t="str">
        <f t="shared" si="278"/>
        <v>gylle</v>
      </c>
      <c r="S244" s="561">
        <f t="shared" ref="S244:T244" si="279">E226*$P$241</f>
        <v>36.670247485188966</v>
      </c>
      <c r="T244" s="561">
        <f t="shared" si="279"/>
        <v>24.114673617977527</v>
      </c>
      <c r="U244" s="142">
        <f t="shared" si="272"/>
        <v>0.2</v>
      </c>
      <c r="V244" s="142">
        <f t="shared" si="273"/>
        <v>0.31025000000000003</v>
      </c>
      <c r="W244" s="142">
        <f t="shared" si="274"/>
        <v>58.947500000000005</v>
      </c>
      <c r="Y244" s="561">
        <f t="shared" si="269"/>
        <v>275.50516371481103</v>
      </c>
      <c r="AA244" s="142" t="str">
        <f t="shared" si="275"/>
        <v>jto12_Sengestald med fast gulv - gylle</v>
      </c>
    </row>
    <row r="245" spans="1:27" s="142" customFormat="1" x14ac:dyDescent="0.25">
      <c r="A245" s="153"/>
      <c r="B245" s="262"/>
      <c r="C245" s="262"/>
      <c r="D245" s="263"/>
      <c r="E245" s="165"/>
      <c r="F245" s="166"/>
      <c r="H245" s="151"/>
      <c r="I245" s="152"/>
      <c r="J245" s="153"/>
      <c r="K245" s="166"/>
      <c r="N245" s="195"/>
      <c r="O245" s="662"/>
      <c r="P245" s="663"/>
      <c r="Q245" s="142" t="str">
        <f t="shared" ref="Q245:R245" si="280">C227</f>
        <v>Sengestald med spaltegulv (kanal, line- spil)</v>
      </c>
      <c r="R245" s="142" t="str">
        <f t="shared" si="280"/>
        <v>gylle</v>
      </c>
      <c r="S245" s="561">
        <f t="shared" ref="S245:T245" si="281">E227*$P$241</f>
        <v>36.670247485188966</v>
      </c>
      <c r="T245" s="561">
        <f t="shared" si="281"/>
        <v>24.114673617977527</v>
      </c>
      <c r="U245" s="142">
        <f t="shared" si="272"/>
        <v>0.2</v>
      </c>
      <c r="V245" s="142">
        <f t="shared" si="273"/>
        <v>0.31025000000000003</v>
      </c>
      <c r="W245" s="142">
        <f t="shared" si="274"/>
        <v>58.947500000000005</v>
      </c>
      <c r="Y245" s="561">
        <f t="shared" si="269"/>
        <v>275.50516371481103</v>
      </c>
      <c r="AA245" s="142" t="str">
        <f t="shared" si="275"/>
        <v>jto12_Sengestald med spaltegulv (kanal, line- spil) - gylle</v>
      </c>
    </row>
    <row r="246" spans="1:27" s="142" customFormat="1" x14ac:dyDescent="0.25">
      <c r="A246" s="153"/>
      <c r="B246" s="262"/>
      <c r="C246" s="262"/>
      <c r="D246" s="263"/>
      <c r="E246" s="165"/>
      <c r="F246" s="166"/>
      <c r="H246" s="151"/>
      <c r="I246" s="152"/>
      <c r="J246" s="153"/>
      <c r="K246" s="166"/>
      <c r="N246" s="195"/>
      <c r="O246" s="662"/>
      <c r="P246" s="663"/>
      <c r="Q246" s="142" t="str">
        <f t="shared" ref="Q246:R246" si="282">C228</f>
        <v>Sengestald med spaltegulv (kanal, bagskyl eller ringkanal)</v>
      </c>
      <c r="R246" s="142" t="str">
        <f t="shared" si="282"/>
        <v>gylle</v>
      </c>
      <c r="S246" s="561">
        <f t="shared" ref="S246:T246" si="283">E228*$P$241</f>
        <v>36.670247485188966</v>
      </c>
      <c r="T246" s="561">
        <f t="shared" si="283"/>
        <v>24.114673617977527</v>
      </c>
      <c r="U246" s="142">
        <f t="shared" si="272"/>
        <v>0.2</v>
      </c>
      <c r="V246" s="142">
        <f t="shared" si="273"/>
        <v>0.31025000000000003</v>
      </c>
      <c r="W246" s="142">
        <f t="shared" si="274"/>
        <v>58.947500000000005</v>
      </c>
      <c r="Y246" s="561">
        <f t="shared" si="269"/>
        <v>275.50516371481103</v>
      </c>
      <c r="AA246" s="142" t="str">
        <f t="shared" si="275"/>
        <v>jto12_Sengestald med spaltegulv (kanal, bagskyl eller ringkanal) - gylle</v>
      </c>
    </row>
    <row r="247" spans="1:27" s="142" customFormat="1" x14ac:dyDescent="0.25">
      <c r="A247" s="153"/>
      <c r="B247" s="262"/>
      <c r="C247" s="262"/>
      <c r="D247" s="263"/>
      <c r="E247" s="165"/>
      <c r="F247" s="166"/>
      <c r="H247" s="151"/>
      <c r="I247" s="152"/>
      <c r="J247" s="153"/>
      <c r="K247" s="166"/>
      <c r="N247" s="195"/>
      <c r="O247" s="662"/>
      <c r="P247" s="663"/>
      <c r="Q247" s="142" t="str">
        <f t="shared" ref="Q247:R247" si="284">C229</f>
        <v>Sengestald, fast drænet gulv med skra- ber og ajleafløb *)</v>
      </c>
      <c r="R247" s="142" t="str">
        <f t="shared" si="284"/>
        <v>gylle</v>
      </c>
      <c r="S247" s="561">
        <f t="shared" ref="S247:T247" si="285">E229*$P$241</f>
        <v>36.670247485188966</v>
      </c>
      <c r="T247" s="561">
        <f t="shared" si="285"/>
        <v>24.114673617977527</v>
      </c>
      <c r="U247" s="142">
        <f t="shared" si="272"/>
        <v>0.2</v>
      </c>
      <c r="V247" s="142">
        <f t="shared" si="273"/>
        <v>0.31025000000000003</v>
      </c>
      <c r="W247" s="142">
        <f t="shared" si="274"/>
        <v>58.947500000000005</v>
      </c>
      <c r="Y247" s="561">
        <f t="shared" si="269"/>
        <v>275.50516371481103</v>
      </c>
      <c r="AA247" s="142" t="str">
        <f t="shared" si="275"/>
        <v>jto12_Sengestald, fast drænet gulv med skra- ber og ajleafløb *) - gylle</v>
      </c>
    </row>
    <row r="248" spans="1:27" s="142" customFormat="1" x14ac:dyDescent="0.25">
      <c r="A248" s="153"/>
      <c r="B248" s="262"/>
      <c r="C248" s="262"/>
      <c r="D248" s="263"/>
      <c r="E248" s="165"/>
      <c r="F248" s="166"/>
      <c r="H248" s="151"/>
      <c r="I248" s="152"/>
      <c r="J248" s="153"/>
      <c r="K248" s="166"/>
      <c r="N248" s="195"/>
      <c r="O248" s="662"/>
      <c r="P248" s="663"/>
      <c r="Q248" s="142" t="str">
        <f t="shared" ref="Q248:R248" si="286">C230</f>
        <v>Dybstrøelse, hele arealet</v>
      </c>
      <c r="R248" s="142" t="str">
        <f t="shared" si="286"/>
        <v>dybstrøelse</v>
      </c>
      <c r="S248" s="561">
        <f t="shared" ref="S248:T248" si="287">E230*$P$241</f>
        <v>36.670247485188966</v>
      </c>
      <c r="T248" s="561">
        <f t="shared" si="287"/>
        <v>0</v>
      </c>
      <c r="U248" s="142">
        <f t="shared" si="272"/>
        <v>2.9</v>
      </c>
      <c r="V248" s="142">
        <f t="shared" si="273"/>
        <v>4.4986249999999997</v>
      </c>
      <c r="W248" s="142">
        <f t="shared" si="274"/>
        <v>854.73874999999987</v>
      </c>
      <c r="Y248" s="561">
        <f t="shared" si="269"/>
        <v>275.50516371481103</v>
      </c>
      <c r="AA248" s="142" t="str">
        <f t="shared" si="275"/>
        <v>jto12_Dybstrøelse, hele arealet - dybstrøelse</v>
      </c>
    </row>
    <row r="249" spans="1:27" s="142" customFormat="1" x14ac:dyDescent="0.25">
      <c r="A249" s="153"/>
      <c r="B249" s="262"/>
      <c r="C249" s="262"/>
      <c r="D249" s="263"/>
      <c r="E249" s="165"/>
      <c r="F249" s="166"/>
      <c r="H249" s="151"/>
      <c r="I249" s="152"/>
      <c r="J249" s="153"/>
      <c r="K249" s="166"/>
      <c r="N249" s="195"/>
      <c r="O249" s="662"/>
      <c r="P249" s="663"/>
      <c r="Q249" s="142" t="str">
        <f t="shared" ref="Q249:R249" si="288">C231</f>
        <v>Dybstrøelse + kort ædeplads med fast gulv</v>
      </c>
      <c r="R249" s="142" t="str">
        <f t="shared" si="288"/>
        <v>dybstrøelse</v>
      </c>
      <c r="S249" s="561">
        <f t="shared" ref="S249:T249" si="289">E231*$P$241</f>
        <v>36.670247485188966</v>
      </c>
      <c r="T249" s="561">
        <f t="shared" si="289"/>
        <v>0</v>
      </c>
      <c r="U249" s="142">
        <f t="shared" si="272"/>
        <v>2.4</v>
      </c>
      <c r="V249" s="142">
        <f t="shared" si="273"/>
        <v>3.7230000000000003</v>
      </c>
      <c r="W249" s="142">
        <f t="shared" si="274"/>
        <v>707.37</v>
      </c>
      <c r="Y249" s="561">
        <f t="shared" si="269"/>
        <v>275.50516371481103</v>
      </c>
      <c r="AA249" s="142" t="str">
        <f t="shared" si="275"/>
        <v>jto12_Dybstrøelse + kort ædeplads med fast gulv - dybstrøelse</v>
      </c>
    </row>
    <row r="250" spans="1:27" s="142" customFormat="1" x14ac:dyDescent="0.25">
      <c r="A250" s="153"/>
      <c r="B250" s="262"/>
      <c r="C250" s="262"/>
      <c r="D250" s="263"/>
      <c r="E250" s="165"/>
      <c r="F250" s="166"/>
      <c r="H250" s="151"/>
      <c r="I250" s="152"/>
      <c r="J250" s="153"/>
      <c r="K250" s="166"/>
      <c r="N250" s="195"/>
      <c r="O250" s="662"/>
      <c r="P250" s="663"/>
      <c r="Q250" s="142" t="str">
        <f t="shared" ref="Q250:R250" si="290">C232</f>
        <v>Dybstrøelse, lang ædeplads med fast gulv</v>
      </c>
      <c r="R250" s="142" t="str">
        <f t="shared" si="290"/>
        <v>dybstrøelse</v>
      </c>
      <c r="S250" s="561">
        <f t="shared" ref="S250:T250" si="291">E232*$P$241</f>
        <v>22.002148491113381</v>
      </c>
      <c r="T250" s="561">
        <f t="shared" si="291"/>
        <v>0</v>
      </c>
      <c r="U250" s="142">
        <f t="shared" si="272"/>
        <v>2.2999999999999998</v>
      </c>
      <c r="V250" s="142">
        <f t="shared" si="273"/>
        <v>3.5678749999999999</v>
      </c>
      <c r="W250" s="142">
        <f t="shared" si="274"/>
        <v>677.8962499999999</v>
      </c>
      <c r="Y250" s="561">
        <f t="shared" si="269"/>
        <v>165.30309822888663</v>
      </c>
      <c r="AA250" s="142" t="str">
        <f t="shared" si="275"/>
        <v>jto12_Dybstrøelse, lang ædeplads med fast gulv - dybstrøelse</v>
      </c>
    </row>
    <row r="251" spans="1:27" s="142" customFormat="1" x14ac:dyDescent="0.25">
      <c r="A251" s="153"/>
      <c r="B251" s="262"/>
      <c r="C251" s="262"/>
      <c r="D251" s="263"/>
      <c r="E251" s="165"/>
      <c r="F251" s="166"/>
      <c r="H251" s="151"/>
      <c r="I251" s="152"/>
      <c r="J251" s="153"/>
      <c r="K251" s="166"/>
      <c r="N251" s="195"/>
      <c r="O251" s="662"/>
      <c r="P251" s="663"/>
      <c r="Q251" s="142" t="str">
        <f t="shared" ref="Q251:R251" si="292">C233</f>
        <v>Dybstrøelse, lang ædeplads med fast gulv</v>
      </c>
      <c r="R251" s="142" t="str">
        <f t="shared" si="292"/>
        <v>gylle</v>
      </c>
      <c r="S251" s="561">
        <f t="shared" ref="S251:T251" si="293">E233*$P$241</f>
        <v>14.668098994075587</v>
      </c>
      <c r="T251" s="561">
        <f t="shared" si="293"/>
        <v>9.6458694471910107</v>
      </c>
      <c r="U251" s="142">
        <f t="shared" si="272"/>
        <v>0</v>
      </c>
      <c r="V251" s="142">
        <f t="shared" si="273"/>
        <v>0</v>
      </c>
      <c r="W251" s="142">
        <f t="shared" si="274"/>
        <v>0</v>
      </c>
      <c r="Y251" s="561">
        <f t="shared" si="269"/>
        <v>110.20206548592444</v>
      </c>
      <c r="AA251" s="142" t="str">
        <f t="shared" si="275"/>
        <v>jto12_Dybstrøelse, lang ædeplads med fast gulv - gylle</v>
      </c>
    </row>
    <row r="252" spans="1:27" s="142" customFormat="1" x14ac:dyDescent="0.25">
      <c r="A252" s="153"/>
      <c r="B252" s="262"/>
      <c r="C252" s="262"/>
      <c r="D252" s="263"/>
      <c r="E252" s="165"/>
      <c r="F252" s="166"/>
      <c r="H252" s="151"/>
      <c r="I252" s="152"/>
      <c r="J252" s="153"/>
      <c r="K252" s="166"/>
      <c r="N252" s="195"/>
      <c r="O252" s="662"/>
      <c r="P252" s="663"/>
      <c r="Q252" s="142" t="str">
        <f t="shared" ref="Q252:R252" si="294">C234</f>
        <v>Dybstrøelse, lang ædeplads med spalter (kanal, linespil)</v>
      </c>
      <c r="R252" s="142" t="str">
        <f t="shared" si="294"/>
        <v>dybstrøelse</v>
      </c>
      <c r="S252" s="561">
        <f t="shared" ref="S252:T252" si="295">E234*$P$241</f>
        <v>22.002148491113381</v>
      </c>
      <c r="T252" s="561">
        <f t="shared" si="295"/>
        <v>0</v>
      </c>
      <c r="U252" s="142">
        <f t="shared" si="272"/>
        <v>2.2999999999999998</v>
      </c>
      <c r="V252" s="142">
        <f t="shared" si="273"/>
        <v>3.5678749999999999</v>
      </c>
      <c r="W252" s="142">
        <f t="shared" si="274"/>
        <v>677.8962499999999</v>
      </c>
      <c r="Y252" s="561">
        <f t="shared" si="269"/>
        <v>165.30309822888663</v>
      </c>
      <c r="AA252" s="142" t="str">
        <f t="shared" si="275"/>
        <v>jto12_Dybstrøelse, lang ædeplads med spalter (kanal, linespil) - dybstrøelse</v>
      </c>
    </row>
    <row r="253" spans="1:27" s="142" customFormat="1" x14ac:dyDescent="0.25">
      <c r="A253" s="153"/>
      <c r="B253" s="262"/>
      <c r="C253" s="262"/>
      <c r="D253" s="263"/>
      <c r="E253" s="165"/>
      <c r="F253" s="166"/>
      <c r="H253" s="151"/>
      <c r="I253" s="152"/>
      <c r="J253" s="153"/>
      <c r="K253" s="166"/>
      <c r="N253" s="195"/>
      <c r="O253" s="662"/>
      <c r="P253" s="663"/>
      <c r="Q253" s="142" t="str">
        <f t="shared" ref="Q253:R253" si="296">C235</f>
        <v>Dybstrøelse, lang ædeplads med spalter (kanal, linespil)</v>
      </c>
      <c r="R253" s="142" t="str">
        <f t="shared" si="296"/>
        <v>gylle</v>
      </c>
      <c r="S253" s="561">
        <f t="shared" ref="S253:T253" si="297">E235*$P$241</f>
        <v>14.668098994075587</v>
      </c>
      <c r="T253" s="561">
        <f t="shared" si="297"/>
        <v>9.6458694471910107</v>
      </c>
      <c r="U253" s="142">
        <f t="shared" si="272"/>
        <v>0</v>
      </c>
      <c r="V253" s="142">
        <f t="shared" si="273"/>
        <v>0</v>
      </c>
      <c r="W253" s="142">
        <f t="shared" si="274"/>
        <v>0</v>
      </c>
      <c r="Y253" s="561">
        <f t="shared" si="269"/>
        <v>110.20206548592444</v>
      </c>
      <c r="AA253" s="142" t="str">
        <f t="shared" si="275"/>
        <v>jto12_Dybstrøelse, lang ædeplads med spalter (kanal, linespil) - gylle</v>
      </c>
    </row>
    <row r="254" spans="1:27" s="142" customFormat="1" x14ac:dyDescent="0.25">
      <c r="A254" s="153"/>
      <c r="B254" s="262"/>
      <c r="C254" s="262"/>
      <c r="D254" s="263"/>
      <c r="E254" s="165"/>
      <c r="F254" s="166"/>
      <c r="H254" s="151"/>
      <c r="I254" s="152"/>
      <c r="J254" s="153"/>
      <c r="K254" s="166"/>
      <c r="N254" s="195"/>
      <c r="O254" s="662"/>
      <c r="P254" s="663"/>
      <c r="Q254" s="142" t="str">
        <f t="shared" ref="Q254:R254" si="298">C236</f>
        <v>Dybstrøelse, lang ædeplads med spalter (kanal, bagskyl eller ringkanal)</v>
      </c>
      <c r="R254" s="142" t="str">
        <f t="shared" si="298"/>
        <v>dybstrøelse</v>
      </c>
      <c r="S254" s="561">
        <f t="shared" ref="S254:T254" si="299">E236*$P$241</f>
        <v>22.002148491113381</v>
      </c>
      <c r="T254" s="561">
        <f t="shared" si="299"/>
        <v>0</v>
      </c>
      <c r="U254" s="142">
        <f t="shared" si="272"/>
        <v>2.2999999999999998</v>
      </c>
      <c r="V254" s="142">
        <f t="shared" si="273"/>
        <v>3.5678749999999999</v>
      </c>
      <c r="W254" s="142">
        <f t="shared" si="274"/>
        <v>677.8962499999999</v>
      </c>
      <c r="Y254" s="561">
        <f t="shared" si="269"/>
        <v>165.30309822888663</v>
      </c>
      <c r="AA254" s="142" t="str">
        <f t="shared" si="275"/>
        <v>jto12_Dybstrøelse, lang ædeplads med spalter (kanal, bagskyl eller ringkanal) - dybstrøelse</v>
      </c>
    </row>
    <row r="255" spans="1:27" s="142" customFormat="1" x14ac:dyDescent="0.25">
      <c r="A255" s="153"/>
      <c r="B255" s="262"/>
      <c r="C255" s="262"/>
      <c r="D255" s="263"/>
      <c r="E255" s="165"/>
      <c r="F255" s="166"/>
      <c r="H255" s="151"/>
      <c r="I255" s="152"/>
      <c r="J255" s="153"/>
      <c r="K255" s="166"/>
      <c r="N255" s="195"/>
      <c r="O255" s="662"/>
      <c r="P255" s="663"/>
      <c r="Q255" s="142" t="str">
        <f t="shared" ref="Q255:R255" si="300">C237</f>
        <v>Dybstrøelse, lang ædeplads med spalter (kanal, bagskyl eller ringkanal)</v>
      </c>
      <c r="R255" s="142" t="str">
        <f t="shared" si="300"/>
        <v>gylle</v>
      </c>
      <c r="S255" s="561">
        <f t="shared" ref="S255:T255" si="301">E237*$P$241</f>
        <v>14.668098994075587</v>
      </c>
      <c r="T255" s="561">
        <f t="shared" si="301"/>
        <v>9.6458694471910107</v>
      </c>
      <c r="U255" s="142">
        <f t="shared" si="272"/>
        <v>0</v>
      </c>
      <c r="V255" s="142">
        <f t="shared" si="273"/>
        <v>0</v>
      </c>
      <c r="W255" s="142">
        <f t="shared" si="274"/>
        <v>0</v>
      </c>
      <c r="Y255" s="561">
        <f t="shared" si="269"/>
        <v>110.20206548592444</v>
      </c>
      <c r="AA255" s="142" t="str">
        <f t="shared" si="275"/>
        <v>jto12_Dybstrøelse, lang ædeplads med spalter (kanal, bagskyl eller ringkanal) - gylle</v>
      </c>
    </row>
    <row r="256" spans="1:27" s="142" customFormat="1" x14ac:dyDescent="0.25">
      <c r="A256" s="153"/>
      <c r="B256" s="262"/>
      <c r="C256" s="262"/>
      <c r="D256" s="263"/>
      <c r="E256" s="165"/>
      <c r="F256" s="166"/>
      <c r="H256" s="151"/>
      <c r="I256" s="152"/>
      <c r="J256" s="153"/>
      <c r="K256" s="166"/>
      <c r="N256" s="195"/>
      <c r="O256" s="662"/>
      <c r="P256" s="663"/>
      <c r="Q256" s="142" t="str">
        <f t="shared" ref="Q256:R256" si="302">C238</f>
        <v>Spaltegulvbokse</v>
      </c>
      <c r="R256" s="142" t="str">
        <f t="shared" si="302"/>
        <v>gylle</v>
      </c>
      <c r="S256" s="561">
        <f t="shared" ref="S256:T256" si="303">E238*$P$241</f>
        <v>36.670247485188966</v>
      </c>
      <c r="T256" s="561">
        <f t="shared" si="303"/>
        <v>24.114673617977527</v>
      </c>
      <c r="U256" s="142">
        <f t="shared" si="272"/>
        <v>0</v>
      </c>
      <c r="V256" s="142">
        <f t="shared" si="273"/>
        <v>0</v>
      </c>
      <c r="W256" s="142">
        <f t="shared" si="274"/>
        <v>0</v>
      </c>
      <c r="Y256" s="561">
        <f t="shared" si="269"/>
        <v>275.50516371481103</v>
      </c>
      <c r="AA256" s="142" t="str">
        <f t="shared" si="275"/>
        <v>jto12_Spaltegulvbokse - gylle</v>
      </c>
    </row>
    <row r="257" spans="1:25" s="142" customFormat="1" x14ac:dyDescent="0.25">
      <c r="A257" s="153"/>
      <c r="B257" s="262"/>
      <c r="C257" s="262"/>
      <c r="D257" s="263"/>
      <c r="E257" s="165"/>
      <c r="F257" s="166"/>
      <c r="H257" s="151"/>
      <c r="I257" s="152"/>
      <c r="J257" s="153"/>
      <c r="K257" s="166"/>
      <c r="N257" s="195"/>
      <c r="O257" s="662"/>
      <c r="P257" s="663"/>
      <c r="S257" s="561"/>
      <c r="T257" s="561"/>
      <c r="Y257" s="236"/>
    </row>
    <row r="258" spans="1:25" s="142" customFormat="1" x14ac:dyDescent="0.25">
      <c r="A258" s="153"/>
      <c r="B258" s="262"/>
      <c r="C258" s="262"/>
      <c r="D258" s="263"/>
      <c r="E258" s="165"/>
      <c r="F258" s="166"/>
      <c r="H258" s="151"/>
      <c r="I258" s="152"/>
      <c r="J258" s="153"/>
      <c r="K258" s="166"/>
      <c r="N258" s="195"/>
      <c r="O258" s="662"/>
      <c r="P258" s="663"/>
      <c r="S258" s="561"/>
      <c r="T258" s="561"/>
      <c r="Y258" s="236"/>
    </row>
    <row r="259" spans="1:25" s="142" customFormat="1" x14ac:dyDescent="0.25">
      <c r="A259" s="153"/>
      <c r="B259" s="262"/>
      <c r="C259" s="262"/>
      <c r="D259" s="263"/>
      <c r="E259" s="165"/>
      <c r="F259" s="166"/>
      <c r="H259" s="151"/>
      <c r="I259" s="152"/>
      <c r="J259" s="153"/>
      <c r="K259" s="166"/>
      <c r="N259" s="195"/>
      <c r="O259" s="662"/>
      <c r="P259" s="663"/>
      <c r="S259" s="561"/>
      <c r="T259" s="561"/>
      <c r="Y259" s="236"/>
    </row>
    <row r="260" spans="1:25" x14ac:dyDescent="0.25">
      <c r="A260" s="25"/>
      <c r="B260" s="14"/>
      <c r="C260" s="26" t="s">
        <v>49</v>
      </c>
      <c r="D260" s="14"/>
      <c r="E260" s="27"/>
      <c r="F260" s="28"/>
      <c r="H260" s="35"/>
      <c r="I260" s="39"/>
      <c r="J260" s="21"/>
      <c r="K260" s="18"/>
      <c r="O260" s="662" t="s">
        <v>210</v>
      </c>
      <c r="P260" s="663"/>
      <c r="S260" s="236"/>
      <c r="T260" s="236"/>
      <c r="Y260" s="236" t="s">
        <v>210</v>
      </c>
    </row>
    <row r="261" spans="1:25" x14ac:dyDescent="0.25">
      <c r="A261" s="21"/>
      <c r="C261" s="32" t="s">
        <v>53</v>
      </c>
      <c r="D261" s="41">
        <f>30.1/E261</f>
        <v>0.69036697247706424</v>
      </c>
      <c r="E261" s="33">
        <v>43.6</v>
      </c>
      <c r="F261" s="34">
        <f>E261*D261</f>
        <v>30.1</v>
      </c>
      <c r="H261" s="35"/>
      <c r="I261" s="39"/>
      <c r="J261" s="40">
        <v>2.08</v>
      </c>
      <c r="K261" s="37">
        <f>J261*1000*0.08*0.8</f>
        <v>133.12</v>
      </c>
      <c r="M261" t="str">
        <f>C260</f>
        <v>Ammekøer, 1 årsko under 400 kg</v>
      </c>
      <c r="N261" s="134" t="str">
        <f>C260</f>
        <v>Ammekøer, 1 årsko under 400 kg</v>
      </c>
      <c r="O261" s="662"/>
      <c r="P261" s="663"/>
      <c r="S261" s="236"/>
      <c r="T261" s="236"/>
      <c r="Y261" s="236" t="s">
        <v>210</v>
      </c>
    </row>
    <row r="262" spans="1:25" x14ac:dyDescent="0.25">
      <c r="A262" s="21">
        <v>1241</v>
      </c>
      <c r="B262">
        <v>1</v>
      </c>
      <c r="C262" t="s">
        <v>21</v>
      </c>
      <c r="D262" s="130" t="s">
        <v>32</v>
      </c>
      <c r="E262" s="132">
        <f>$E$261*0.6</f>
        <v>26.16</v>
      </c>
      <c r="F262" s="20">
        <f>$F$261*0.6</f>
        <v>18.059999999999999</v>
      </c>
      <c r="G262">
        <v>0.6</v>
      </c>
      <c r="H262" s="35">
        <f>G262*0.85*365*$H$5</f>
        <v>0.93075000000000008</v>
      </c>
      <c r="I262" s="39">
        <f t="shared" si="65"/>
        <v>176.8425</v>
      </c>
      <c r="J262" s="21"/>
      <c r="K262" s="20"/>
      <c r="M262" t="str">
        <f>C262&amp;" - "&amp;D262</f>
        <v>Bindestald med grebning - fast gødning</v>
      </c>
      <c r="O262" s="662" t="s">
        <v>210</v>
      </c>
      <c r="P262" s="663"/>
      <c r="S262" s="236"/>
      <c r="T262" s="236"/>
      <c r="Y262" s="236" t="s">
        <v>210</v>
      </c>
    </row>
    <row r="263" spans="1:25" x14ac:dyDescent="0.25">
      <c r="A263" s="21">
        <v>1241</v>
      </c>
      <c r="B263">
        <v>1</v>
      </c>
      <c r="C263" t="s">
        <v>21</v>
      </c>
      <c r="D263" s="130" t="s">
        <v>33</v>
      </c>
      <c r="E263" s="132">
        <f>$E$261*0.4</f>
        <v>17.440000000000001</v>
      </c>
      <c r="F263" s="20">
        <f>$F$261*0.4</f>
        <v>12.040000000000001</v>
      </c>
      <c r="H263" s="35"/>
      <c r="I263" s="39">
        <f t="shared" si="65"/>
        <v>0</v>
      </c>
      <c r="J263" s="21"/>
      <c r="K263" s="20"/>
      <c r="M263" t="str">
        <f t="shared" ref="M263:M275" si="304">C263&amp;" - "&amp;D263</f>
        <v>Bindestald med grebning - ajle</v>
      </c>
      <c r="O263" s="662" t="s">
        <v>210</v>
      </c>
      <c r="P263" s="663"/>
      <c r="S263" s="236"/>
      <c r="T263" s="236"/>
      <c r="Y263" s="236" t="s">
        <v>210</v>
      </c>
    </row>
    <row r="264" spans="1:25" x14ac:dyDescent="0.25">
      <c r="A264" s="21">
        <v>1241</v>
      </c>
      <c r="B264">
        <v>2</v>
      </c>
      <c r="C264" t="s">
        <v>22</v>
      </c>
      <c r="D264" t="s">
        <v>23</v>
      </c>
      <c r="E264" s="132">
        <f t="shared" ref="E264:E269" si="305">$E$261</f>
        <v>43.6</v>
      </c>
      <c r="F264" s="20">
        <f t="shared" ref="F264:F267" si="306">$F$261</f>
        <v>30.1</v>
      </c>
      <c r="G264">
        <v>0.6</v>
      </c>
      <c r="H264" s="35">
        <f t="shared" ref="H264:H270" si="307">G264*0.85*365*$H$5</f>
        <v>0.93075000000000008</v>
      </c>
      <c r="I264" s="39">
        <f t="shared" si="65"/>
        <v>176.8425</v>
      </c>
      <c r="J264" s="21"/>
      <c r="K264" s="20">
        <f>$K$261</f>
        <v>133.12</v>
      </c>
      <c r="M264" t="str">
        <f t="shared" si="304"/>
        <v>Bindestald med riste - gylle</v>
      </c>
      <c r="N264" s="195" t="s">
        <v>210</v>
      </c>
      <c r="O264" s="662" t="s">
        <v>210</v>
      </c>
      <c r="P264" s="663"/>
      <c r="S264" s="236"/>
      <c r="T264" s="236"/>
      <c r="Y264" s="236" t="s">
        <v>210</v>
      </c>
    </row>
    <row r="265" spans="1:25" x14ac:dyDescent="0.25">
      <c r="A265" s="21">
        <v>1241</v>
      </c>
      <c r="B265">
        <v>9</v>
      </c>
      <c r="C265" t="s">
        <v>38</v>
      </c>
      <c r="D265" t="s">
        <v>23</v>
      </c>
      <c r="E265" s="132">
        <f t="shared" si="305"/>
        <v>43.6</v>
      </c>
      <c r="F265" s="20">
        <f t="shared" si="306"/>
        <v>30.1</v>
      </c>
      <c r="G265">
        <v>0.2</v>
      </c>
      <c r="H265" s="35">
        <f t="shared" si="307"/>
        <v>0.31025000000000003</v>
      </c>
      <c r="I265" s="39">
        <f t="shared" si="65"/>
        <v>58.947500000000005</v>
      </c>
      <c r="J265" s="21"/>
      <c r="K265" s="20">
        <f t="shared" ref="K265:K269" si="308">$K$261</f>
        <v>133.12</v>
      </c>
      <c r="M265" t="str">
        <f t="shared" si="304"/>
        <v>Sengestald med spaltegulv (kanal, line- spil) - gylle</v>
      </c>
      <c r="N265" s="195" t="s">
        <v>210</v>
      </c>
      <c r="O265" s="662" t="s">
        <v>210</v>
      </c>
      <c r="P265" s="663"/>
      <c r="S265" s="236"/>
      <c r="T265" s="236"/>
      <c r="Y265" s="236" t="s">
        <v>210</v>
      </c>
    </row>
    <row r="266" spans="1:25" x14ac:dyDescent="0.25">
      <c r="A266" s="21">
        <v>1241</v>
      </c>
      <c r="B266">
        <v>10</v>
      </c>
      <c r="C266" t="s">
        <v>39</v>
      </c>
      <c r="D266" t="s">
        <v>23</v>
      </c>
      <c r="E266" s="132">
        <f t="shared" si="305"/>
        <v>43.6</v>
      </c>
      <c r="F266" s="20">
        <f t="shared" si="306"/>
        <v>30.1</v>
      </c>
      <c r="G266">
        <v>0.2</v>
      </c>
      <c r="H266" s="35">
        <f t="shared" si="307"/>
        <v>0.31025000000000003</v>
      </c>
      <c r="I266" s="39">
        <f t="shared" si="65"/>
        <v>58.947500000000005</v>
      </c>
      <c r="J266" s="21"/>
      <c r="K266" s="20">
        <f t="shared" si="308"/>
        <v>133.12</v>
      </c>
      <c r="M266" t="str">
        <f t="shared" si="304"/>
        <v>Sengestald med spaltegulv (kanal, bagskyl eller ringkanal) - gylle</v>
      </c>
      <c r="N266" s="195" t="s">
        <v>210</v>
      </c>
      <c r="O266" s="662" t="s">
        <v>210</v>
      </c>
      <c r="P266" s="663"/>
      <c r="S266" s="236"/>
      <c r="T266" s="236"/>
      <c r="Y266" s="236" t="s">
        <v>210</v>
      </c>
    </row>
    <row r="267" spans="1:25" x14ac:dyDescent="0.25">
      <c r="A267" s="21">
        <v>1241</v>
      </c>
      <c r="B267">
        <v>11</v>
      </c>
      <c r="C267" t="s">
        <v>42</v>
      </c>
      <c r="D267" t="s">
        <v>23</v>
      </c>
      <c r="E267" s="132">
        <f t="shared" si="305"/>
        <v>43.6</v>
      </c>
      <c r="F267" s="20">
        <f t="shared" si="306"/>
        <v>30.1</v>
      </c>
      <c r="G267">
        <v>0.2</v>
      </c>
      <c r="H267" s="35">
        <f t="shared" si="307"/>
        <v>0.31025000000000003</v>
      </c>
      <c r="I267" s="39">
        <f t="shared" ref="I267:I290" si="309">G267*0.85*(1-0.05)*365</f>
        <v>58.947500000000005</v>
      </c>
      <c r="J267" s="21"/>
      <c r="K267" s="20">
        <f t="shared" si="308"/>
        <v>133.12</v>
      </c>
      <c r="M267" t="str">
        <f t="shared" si="304"/>
        <v>Sengestald, fast drænet gulv med skra- ber og ajleafløb *) - gylle</v>
      </c>
      <c r="N267" s="195" t="s">
        <v>210</v>
      </c>
      <c r="O267" s="662" t="s">
        <v>210</v>
      </c>
      <c r="P267" s="663"/>
      <c r="S267" s="236"/>
      <c r="T267" s="236"/>
      <c r="Y267" s="236" t="s">
        <v>210</v>
      </c>
    </row>
    <row r="268" spans="1:25" x14ac:dyDescent="0.25">
      <c r="A268" s="21">
        <v>1241</v>
      </c>
      <c r="B268">
        <v>3</v>
      </c>
      <c r="C268" t="s">
        <v>40</v>
      </c>
      <c r="D268" t="s">
        <v>27</v>
      </c>
      <c r="E268" s="132">
        <f t="shared" si="305"/>
        <v>43.6</v>
      </c>
      <c r="F268" s="20"/>
      <c r="G268">
        <v>6</v>
      </c>
      <c r="H268" s="35">
        <f t="shared" si="307"/>
        <v>9.3074999999999992</v>
      </c>
      <c r="I268" s="39">
        <f t="shared" si="309"/>
        <v>1768.425</v>
      </c>
      <c r="J268" s="21"/>
      <c r="K268" s="20">
        <f t="shared" si="308"/>
        <v>133.12</v>
      </c>
      <c r="M268" t="str">
        <f t="shared" si="304"/>
        <v>Dybstrøelse, hele arealet - dybstrøelse</v>
      </c>
      <c r="N268" s="195" t="s">
        <v>210</v>
      </c>
      <c r="O268" s="662" t="s">
        <v>210</v>
      </c>
      <c r="P268" s="663"/>
      <c r="S268" s="236"/>
      <c r="T268" s="236"/>
      <c r="Y268" s="236" t="s">
        <v>210</v>
      </c>
    </row>
    <row r="269" spans="1:25" x14ac:dyDescent="0.25">
      <c r="A269" s="21">
        <v>1241</v>
      </c>
      <c r="B269">
        <v>4</v>
      </c>
      <c r="C269" t="s">
        <v>36</v>
      </c>
      <c r="D269" s="130" t="s">
        <v>27</v>
      </c>
      <c r="E269" s="132">
        <f t="shared" si="305"/>
        <v>43.6</v>
      </c>
      <c r="F269" s="20"/>
      <c r="G269">
        <v>5.25</v>
      </c>
      <c r="H269" s="35">
        <f t="shared" si="307"/>
        <v>8.1440624999999986</v>
      </c>
      <c r="I269" s="39">
        <f t="shared" si="309"/>
        <v>1547.3718749999996</v>
      </c>
      <c r="J269" s="21"/>
      <c r="K269" s="20">
        <f t="shared" si="308"/>
        <v>133.12</v>
      </c>
      <c r="M269" t="str">
        <f t="shared" si="304"/>
        <v>Dybstrøelse + kort ædeplads med fast gulv - dybstrøelse</v>
      </c>
      <c r="N269" s="195" t="s">
        <v>210</v>
      </c>
      <c r="O269" s="662" t="s">
        <v>210</v>
      </c>
      <c r="P269" s="663"/>
      <c r="S269" s="236"/>
      <c r="T269" s="236"/>
      <c r="Y269" s="236" t="s">
        <v>210</v>
      </c>
    </row>
    <row r="270" spans="1:25" x14ac:dyDescent="0.25">
      <c r="A270" s="21">
        <v>1241</v>
      </c>
      <c r="B270">
        <v>5</v>
      </c>
      <c r="C270" t="s">
        <v>28</v>
      </c>
      <c r="D270" s="130" t="s">
        <v>6</v>
      </c>
      <c r="E270" s="132">
        <f>$E$261*0.6</f>
        <v>26.16</v>
      </c>
      <c r="F270" s="20"/>
      <c r="G270">
        <v>4.5</v>
      </c>
      <c r="H270" s="35">
        <f t="shared" si="307"/>
        <v>6.9806249999999999</v>
      </c>
      <c r="I270" s="39">
        <f t="shared" si="309"/>
        <v>1326.3187499999999</v>
      </c>
      <c r="J270" s="21"/>
      <c r="K270" s="20">
        <f>$K$261*0.6</f>
        <v>79.872</v>
      </c>
      <c r="M270" t="str">
        <f t="shared" si="304"/>
        <v>Dybstrøelse, lang ædeplads med fast gulv - Dybstrøelse</v>
      </c>
      <c r="N270" s="195" t="s">
        <v>210</v>
      </c>
      <c r="O270" s="662" t="s">
        <v>210</v>
      </c>
      <c r="P270" s="663"/>
      <c r="S270" s="236"/>
      <c r="T270" s="236"/>
      <c r="Y270" s="236" t="s">
        <v>210</v>
      </c>
    </row>
    <row r="271" spans="1:25" x14ac:dyDescent="0.25">
      <c r="A271" s="21">
        <v>1241</v>
      </c>
      <c r="B271">
        <v>5</v>
      </c>
      <c r="C271" t="s">
        <v>28</v>
      </c>
      <c r="D271" s="130" t="s">
        <v>23</v>
      </c>
      <c r="E271" s="132">
        <f>$E$261*0.4</f>
        <v>17.440000000000001</v>
      </c>
      <c r="F271" s="20">
        <f>$F$261*0.4</f>
        <v>12.040000000000001</v>
      </c>
      <c r="H271" s="35"/>
      <c r="I271" s="39">
        <f t="shared" si="309"/>
        <v>0</v>
      </c>
      <c r="J271" s="21"/>
      <c r="K271" s="20">
        <f>$K$261*0.4</f>
        <v>53.248000000000005</v>
      </c>
      <c r="M271" t="str">
        <f t="shared" si="304"/>
        <v>Dybstrøelse, lang ædeplads med fast gulv - gylle</v>
      </c>
      <c r="N271" s="195" t="s">
        <v>210</v>
      </c>
      <c r="O271" s="662" t="s">
        <v>210</v>
      </c>
      <c r="P271" s="663"/>
      <c r="S271" s="236"/>
      <c r="T271" s="236"/>
      <c r="Y271" s="236" t="s">
        <v>210</v>
      </c>
    </row>
    <row r="272" spans="1:25" x14ac:dyDescent="0.25">
      <c r="A272" s="21">
        <v>1241</v>
      </c>
      <c r="B272">
        <v>6</v>
      </c>
      <c r="C272" t="s">
        <v>29</v>
      </c>
      <c r="D272" s="130" t="s">
        <v>6</v>
      </c>
      <c r="E272" s="132">
        <f>$E$261*0.6</f>
        <v>26.16</v>
      </c>
      <c r="F272" s="20"/>
      <c r="G272">
        <v>4.5</v>
      </c>
      <c r="H272" s="35">
        <f>G272*0.85*365*$H$5</f>
        <v>6.9806249999999999</v>
      </c>
      <c r="I272" s="39">
        <f t="shared" si="309"/>
        <v>1326.3187499999999</v>
      </c>
      <c r="J272" s="21"/>
      <c r="K272" s="20">
        <f>$K$261*0.6</f>
        <v>79.872</v>
      </c>
      <c r="M272" t="str">
        <f t="shared" si="304"/>
        <v>Dybstrøelse, lang ædeplads med spalter (kanal, linespil) - Dybstrøelse</v>
      </c>
      <c r="N272" s="195" t="s">
        <v>210</v>
      </c>
      <c r="O272" s="662" t="s">
        <v>210</v>
      </c>
      <c r="P272" s="663"/>
      <c r="Q272" s="352"/>
      <c r="R272" s="352"/>
      <c r="S272" s="236"/>
      <c r="T272" s="236"/>
      <c r="Y272" s="236" t="s">
        <v>210</v>
      </c>
    </row>
    <row r="273" spans="1:27" x14ac:dyDescent="0.25">
      <c r="A273" s="21">
        <v>1241</v>
      </c>
      <c r="B273">
        <v>6</v>
      </c>
      <c r="C273" t="s">
        <v>29</v>
      </c>
      <c r="D273" s="130" t="s">
        <v>23</v>
      </c>
      <c r="E273" s="132">
        <f>$E$261*0.4</f>
        <v>17.440000000000001</v>
      </c>
      <c r="F273" s="20">
        <f>$F$261*0.4</f>
        <v>12.040000000000001</v>
      </c>
      <c r="H273" s="35"/>
      <c r="I273" s="39">
        <f t="shared" si="309"/>
        <v>0</v>
      </c>
      <c r="J273" s="21"/>
      <c r="K273" s="20">
        <f>$K$261*0.4</f>
        <v>53.248000000000005</v>
      </c>
      <c r="M273" t="str">
        <f t="shared" si="304"/>
        <v>Dybstrøelse, lang ædeplads med spalter (kanal, linespil) - gylle</v>
      </c>
      <c r="N273" s="195" t="s">
        <v>210</v>
      </c>
      <c r="O273" s="662" t="s">
        <v>210</v>
      </c>
      <c r="P273" s="663"/>
      <c r="Q273" s="352"/>
      <c r="R273" s="352"/>
      <c r="S273" s="236"/>
      <c r="T273" s="236"/>
      <c r="Y273" s="236" t="s">
        <v>210</v>
      </c>
    </row>
    <row r="274" spans="1:27" x14ac:dyDescent="0.25">
      <c r="A274" s="21">
        <v>1241</v>
      </c>
      <c r="B274">
        <v>7</v>
      </c>
      <c r="C274" t="s">
        <v>30</v>
      </c>
      <c r="D274" s="130" t="s">
        <v>6</v>
      </c>
      <c r="E274" s="132">
        <f>$E$261*0.6</f>
        <v>26.16</v>
      </c>
      <c r="F274" s="20"/>
      <c r="G274">
        <v>4.5</v>
      </c>
      <c r="H274" s="35">
        <f>G274*0.85*365*$H$5</f>
        <v>6.9806249999999999</v>
      </c>
      <c r="I274" s="39">
        <f t="shared" si="309"/>
        <v>1326.3187499999999</v>
      </c>
      <c r="J274" s="21"/>
      <c r="K274" s="20">
        <f>$K$261*0.6</f>
        <v>79.872</v>
      </c>
      <c r="M274" t="str">
        <f t="shared" si="304"/>
        <v>Dybstrøelse, lang ædeplads med spalter (kanal, bagskyl eller ringkanal) - Dybstrøelse</v>
      </c>
      <c r="N274" s="195" t="s">
        <v>210</v>
      </c>
      <c r="O274" s="662" t="s">
        <v>210</v>
      </c>
      <c r="P274" s="663"/>
      <c r="Q274" s="352"/>
      <c r="R274" s="352"/>
      <c r="S274" s="236"/>
      <c r="T274" s="236"/>
      <c r="Y274" s="236" t="s">
        <v>210</v>
      </c>
    </row>
    <row r="275" spans="1:27" x14ac:dyDescent="0.25">
      <c r="A275" s="21">
        <v>1241</v>
      </c>
      <c r="B275">
        <v>7</v>
      </c>
      <c r="C275" t="s">
        <v>30</v>
      </c>
      <c r="D275" s="130" t="s">
        <v>23</v>
      </c>
      <c r="E275" s="132">
        <f>$E$261*0.4</f>
        <v>17.440000000000001</v>
      </c>
      <c r="F275" s="20">
        <f>$F$261*0.4</f>
        <v>12.040000000000001</v>
      </c>
      <c r="H275" s="35"/>
      <c r="I275" s="39">
        <f t="shared" si="309"/>
        <v>0</v>
      </c>
      <c r="J275" s="21"/>
      <c r="K275" s="20">
        <f>$K$261*0.4</f>
        <v>53.248000000000005</v>
      </c>
      <c r="M275" t="str">
        <f t="shared" si="304"/>
        <v>Dybstrøelse, lang ædeplads med spalter (kanal, bagskyl eller ringkanal) - gylle</v>
      </c>
      <c r="N275" s="195" t="s">
        <v>210</v>
      </c>
      <c r="O275" s="662" t="s">
        <v>210</v>
      </c>
      <c r="P275" s="663"/>
      <c r="Q275" s="352"/>
      <c r="R275" s="352"/>
      <c r="S275" s="236"/>
      <c r="T275" s="236"/>
      <c r="U275" s="352"/>
      <c r="V275" s="352"/>
      <c r="W275" s="352"/>
      <c r="Y275" s="236" t="s">
        <v>210</v>
      </c>
      <c r="AA275" s="352"/>
    </row>
    <row r="276" spans="1:27" x14ac:dyDescent="0.25">
      <c r="A276" s="25"/>
      <c r="B276" s="14"/>
      <c r="C276" s="26" t="s">
        <v>51</v>
      </c>
      <c r="D276" s="14"/>
      <c r="E276" s="27"/>
      <c r="F276" s="28"/>
      <c r="H276" s="35"/>
      <c r="I276" s="39"/>
      <c r="J276" s="21"/>
      <c r="K276" s="18"/>
      <c r="N276" s="195" t="s">
        <v>210</v>
      </c>
      <c r="O276" s="662" t="s">
        <v>210</v>
      </c>
      <c r="P276" s="663"/>
      <c r="Q276" s="352"/>
      <c r="R276" s="352"/>
      <c r="S276" s="236"/>
      <c r="T276" s="236"/>
      <c r="U276" s="352"/>
      <c r="V276" s="352"/>
      <c r="W276" s="352"/>
      <c r="Y276" s="236" t="s">
        <v>210</v>
      </c>
      <c r="AA276" s="352"/>
    </row>
    <row r="277" spans="1:27" x14ac:dyDescent="0.25">
      <c r="A277" s="21"/>
      <c r="C277" s="32" t="s">
        <v>53</v>
      </c>
      <c r="D277" s="41">
        <f>50.2/E277</f>
        <v>0.6933701657458563</v>
      </c>
      <c r="E277" s="33">
        <v>72.400000000000006</v>
      </c>
      <c r="F277" s="34">
        <f>E277*D277</f>
        <v>50.2</v>
      </c>
      <c r="H277" s="35"/>
      <c r="I277" s="39"/>
      <c r="J277" s="40">
        <v>8.33</v>
      </c>
      <c r="K277" s="37">
        <f>J277*1000*0.08*0.8</f>
        <v>533.12</v>
      </c>
      <c r="M277" t="str">
        <f>C276</f>
        <v>Ammekøer, 1 årsko over 600 kg</v>
      </c>
      <c r="N277" s="134" t="str">
        <f>C276</f>
        <v>Ammekøer, 1 årsko over 600 kg</v>
      </c>
      <c r="O277" s="662"/>
      <c r="P277" s="663"/>
      <c r="Q277" s="353" t="s">
        <v>467</v>
      </c>
      <c r="R277" s="354"/>
      <c r="S277" s="561">
        <f>E277*$P$278</f>
        <v>72.400000000000006</v>
      </c>
      <c r="T277" s="561">
        <f>F277*$P$278</f>
        <v>50.2</v>
      </c>
      <c r="U277" s="352"/>
      <c r="V277" s="352"/>
      <c r="W277" s="352"/>
      <c r="X277" s="142"/>
      <c r="Y277" s="561">
        <f>K277*$P$278</f>
        <v>533.12</v>
      </c>
      <c r="Z277" s="142"/>
      <c r="AA277" s="352"/>
    </row>
    <row r="278" spans="1:27" x14ac:dyDescent="0.25">
      <c r="A278" s="21">
        <v>1243</v>
      </c>
      <c r="B278">
        <v>1</v>
      </c>
      <c r="C278" t="s">
        <v>21</v>
      </c>
      <c r="D278" s="130" t="s">
        <v>32</v>
      </c>
      <c r="E278" s="132">
        <f>$E$277*0.6</f>
        <v>43.440000000000005</v>
      </c>
      <c r="F278" s="20">
        <f>$F$277*0.6</f>
        <v>30.12</v>
      </c>
      <c r="G278">
        <v>0.8</v>
      </c>
      <c r="H278" s="35">
        <f>G278*0.85*365*$H$5</f>
        <v>1.2410000000000001</v>
      </c>
      <c r="I278" s="39">
        <f t="shared" si="309"/>
        <v>235.79000000000002</v>
      </c>
      <c r="J278" s="21"/>
      <c r="K278" s="18"/>
      <c r="M278" t="str">
        <f>C278&amp;" - "&amp;D278</f>
        <v>Bindestald med grebning - fast gødning</v>
      </c>
      <c r="N278" s="195" t="s">
        <v>439</v>
      </c>
      <c r="O278" s="662" t="s">
        <v>309</v>
      </c>
      <c r="P278" s="663">
        <v>1</v>
      </c>
      <c r="Q278" s="352" t="str">
        <f>C278</f>
        <v>Bindestald med grebning</v>
      </c>
      <c r="R278" s="352" t="str">
        <f>D278</f>
        <v>fast gødning</v>
      </c>
      <c r="S278" s="561">
        <f>E278*$P$278</f>
        <v>43.440000000000005</v>
      </c>
      <c r="T278" s="561">
        <f>F278*$P$278</f>
        <v>30.12</v>
      </c>
      <c r="U278" s="352">
        <f t="shared" ref="U278" si="310">G278</f>
        <v>0.8</v>
      </c>
      <c r="V278" s="352">
        <f t="shared" ref="V278" si="311">H278</f>
        <v>1.2410000000000001</v>
      </c>
      <c r="W278" s="352">
        <f t="shared" ref="W278" si="312">I278</f>
        <v>235.79000000000002</v>
      </c>
      <c r="X278" s="142"/>
      <c r="Y278" s="561">
        <f>K278*$P$278</f>
        <v>0</v>
      </c>
      <c r="Z278" s="142"/>
      <c r="AA278" s="352" t="str">
        <f>$O$278&amp;"_"&amp;Q278&amp;" - "&amp;R278</f>
        <v>kki_Bindestald med grebning - fast gødning</v>
      </c>
    </row>
    <row r="279" spans="1:27" x14ac:dyDescent="0.25">
      <c r="A279" s="21">
        <v>1243</v>
      </c>
      <c r="B279">
        <v>1</v>
      </c>
      <c r="C279" t="s">
        <v>21</v>
      </c>
      <c r="D279" s="130" t="s">
        <v>33</v>
      </c>
      <c r="E279" s="132">
        <f>$E$277*0.4</f>
        <v>28.960000000000004</v>
      </c>
      <c r="F279" s="20">
        <f>$F$277*0.4</f>
        <v>20.080000000000002</v>
      </c>
      <c r="H279" s="35"/>
      <c r="I279" s="39">
        <f t="shared" si="309"/>
        <v>0</v>
      </c>
      <c r="J279" s="21"/>
      <c r="K279" s="18"/>
      <c r="M279" t="str">
        <f t="shared" ref="M279:M291" si="313">C279&amp;" - "&amp;D279</f>
        <v>Bindestald med grebning - ajle</v>
      </c>
      <c r="N279" s="195" t="s">
        <v>440</v>
      </c>
      <c r="O279" s="662" t="s">
        <v>210</v>
      </c>
      <c r="P279" s="663"/>
      <c r="Q279" s="352" t="str">
        <f t="shared" ref="Q279:Q291" si="314">C279</f>
        <v>Bindestald med grebning</v>
      </c>
      <c r="R279" s="352" t="str">
        <f t="shared" ref="R279:R291" si="315">D279</f>
        <v>ajle</v>
      </c>
      <c r="S279" s="561">
        <f t="shared" ref="S279:S291" si="316">E279*$P$278</f>
        <v>28.960000000000004</v>
      </c>
      <c r="T279" s="561">
        <f t="shared" ref="T279:T291" si="317">F279*$P$278</f>
        <v>20.080000000000002</v>
      </c>
      <c r="U279" s="352">
        <f t="shared" ref="U279:U291" si="318">G279</f>
        <v>0</v>
      </c>
      <c r="V279" s="352">
        <f t="shared" ref="V279:V291" si="319">H279</f>
        <v>0</v>
      </c>
      <c r="W279" s="352">
        <f t="shared" ref="W279:W291" si="320">I279</f>
        <v>0</v>
      </c>
      <c r="X279" s="142"/>
      <c r="Y279" s="561">
        <f t="shared" ref="Y279:Y291" si="321">K279*$P$278</f>
        <v>0</v>
      </c>
      <c r="Z279" s="142"/>
      <c r="AA279" s="352" t="str">
        <f t="shared" ref="AA279:AA291" si="322">$O$278&amp;"_"&amp;Q279&amp;" - "&amp;R279</f>
        <v>kki_Bindestald med grebning - ajle</v>
      </c>
    </row>
    <row r="280" spans="1:27" x14ac:dyDescent="0.25">
      <c r="A280" s="21">
        <v>1243</v>
      </c>
      <c r="B280">
        <v>2</v>
      </c>
      <c r="C280" t="s">
        <v>22</v>
      </c>
      <c r="D280" t="s">
        <v>23</v>
      </c>
      <c r="E280" s="132">
        <f t="shared" ref="E280:E285" si="323">$E$277</f>
        <v>72.400000000000006</v>
      </c>
      <c r="F280" s="20">
        <f t="shared" ref="F280:F283" si="324">$F$277</f>
        <v>50.2</v>
      </c>
      <c r="G280">
        <v>0.8</v>
      </c>
      <c r="H280" s="35">
        <f t="shared" ref="H280:H286" si="325">G280*0.85*365*$H$5</f>
        <v>1.2410000000000001</v>
      </c>
      <c r="I280" s="39">
        <f t="shared" si="309"/>
        <v>235.79000000000002</v>
      </c>
      <c r="J280" s="21"/>
      <c r="K280" s="20">
        <f>$K$277</f>
        <v>533.12</v>
      </c>
      <c r="M280" t="str">
        <f t="shared" si="313"/>
        <v>Bindestald med riste - gylle</v>
      </c>
      <c r="N280" s="195" t="s">
        <v>210</v>
      </c>
      <c r="O280" s="662" t="s">
        <v>210</v>
      </c>
      <c r="P280" s="663"/>
      <c r="Q280" s="352" t="str">
        <f t="shared" si="314"/>
        <v>Bindestald med riste</v>
      </c>
      <c r="R280" s="352" t="str">
        <f t="shared" si="315"/>
        <v>gylle</v>
      </c>
      <c r="S280" s="561">
        <f t="shared" si="316"/>
        <v>72.400000000000006</v>
      </c>
      <c r="T280" s="561">
        <f t="shared" si="317"/>
        <v>50.2</v>
      </c>
      <c r="U280" s="352">
        <f t="shared" si="318"/>
        <v>0.8</v>
      </c>
      <c r="V280" s="352">
        <f t="shared" si="319"/>
        <v>1.2410000000000001</v>
      </c>
      <c r="W280" s="352">
        <f t="shared" si="320"/>
        <v>235.79000000000002</v>
      </c>
      <c r="X280" s="142"/>
      <c r="Y280" s="561">
        <f t="shared" si="321"/>
        <v>533.12</v>
      </c>
      <c r="Z280" s="142"/>
      <c r="AA280" s="352" t="str">
        <f t="shared" si="322"/>
        <v>kki_Bindestald med riste - gylle</v>
      </c>
    </row>
    <row r="281" spans="1:27" x14ac:dyDescent="0.25">
      <c r="A281" s="21">
        <v>1243</v>
      </c>
      <c r="B281">
        <v>9</v>
      </c>
      <c r="C281" t="s">
        <v>38</v>
      </c>
      <c r="D281" t="s">
        <v>23</v>
      </c>
      <c r="E281" s="132">
        <f t="shared" si="323"/>
        <v>72.400000000000006</v>
      </c>
      <c r="F281" s="20">
        <f t="shared" si="324"/>
        <v>50.2</v>
      </c>
      <c r="G281">
        <v>0.3</v>
      </c>
      <c r="H281" s="35">
        <f t="shared" si="325"/>
        <v>0.46537500000000004</v>
      </c>
      <c r="I281" s="39">
        <f t="shared" si="309"/>
        <v>88.421250000000001</v>
      </c>
      <c r="J281" s="21"/>
      <c r="K281" s="20">
        <f t="shared" ref="K281:K285" si="326">$K$277</f>
        <v>533.12</v>
      </c>
      <c r="M281" t="str">
        <f t="shared" si="313"/>
        <v>Sengestald med spaltegulv (kanal, line- spil) - gylle</v>
      </c>
      <c r="N281" s="195" t="s">
        <v>210</v>
      </c>
      <c r="O281" s="662" t="s">
        <v>210</v>
      </c>
      <c r="P281" s="663"/>
      <c r="Q281" s="352" t="str">
        <f t="shared" si="314"/>
        <v>Sengestald med spaltegulv (kanal, line- spil)</v>
      </c>
      <c r="R281" s="352" t="str">
        <f t="shared" si="315"/>
        <v>gylle</v>
      </c>
      <c r="S281" s="561">
        <f t="shared" si="316"/>
        <v>72.400000000000006</v>
      </c>
      <c r="T281" s="561">
        <f t="shared" si="317"/>
        <v>50.2</v>
      </c>
      <c r="U281" s="352">
        <f t="shared" si="318"/>
        <v>0.3</v>
      </c>
      <c r="V281" s="352">
        <f t="shared" si="319"/>
        <v>0.46537500000000004</v>
      </c>
      <c r="W281" s="352">
        <f t="shared" si="320"/>
        <v>88.421250000000001</v>
      </c>
      <c r="X281" s="142"/>
      <c r="Y281" s="561">
        <f t="shared" si="321"/>
        <v>533.12</v>
      </c>
      <c r="Z281" s="142"/>
      <c r="AA281" s="352" t="str">
        <f t="shared" si="322"/>
        <v>kki_Sengestald med spaltegulv (kanal, line- spil) - gylle</v>
      </c>
    </row>
    <row r="282" spans="1:27" x14ac:dyDescent="0.25">
      <c r="A282" s="21">
        <v>1243</v>
      </c>
      <c r="B282">
        <v>10</v>
      </c>
      <c r="C282" t="s">
        <v>39</v>
      </c>
      <c r="D282" t="s">
        <v>23</v>
      </c>
      <c r="E282" s="132">
        <f t="shared" si="323"/>
        <v>72.400000000000006</v>
      </c>
      <c r="F282" s="20">
        <f t="shared" si="324"/>
        <v>50.2</v>
      </c>
      <c r="G282">
        <v>0.3</v>
      </c>
      <c r="H282" s="35">
        <f t="shared" si="325"/>
        <v>0.46537500000000004</v>
      </c>
      <c r="I282" s="39">
        <f t="shared" si="309"/>
        <v>88.421250000000001</v>
      </c>
      <c r="J282" s="21"/>
      <c r="K282" s="20">
        <f t="shared" si="326"/>
        <v>533.12</v>
      </c>
      <c r="M282" t="str">
        <f t="shared" si="313"/>
        <v>Sengestald med spaltegulv (kanal, bagskyl eller ringkanal) - gylle</v>
      </c>
      <c r="N282" s="195" t="s">
        <v>210</v>
      </c>
      <c r="O282" s="662" t="s">
        <v>210</v>
      </c>
      <c r="P282" s="663"/>
      <c r="Q282" s="352" t="str">
        <f t="shared" si="314"/>
        <v>Sengestald med spaltegulv (kanal, bagskyl eller ringkanal)</v>
      </c>
      <c r="R282" s="352" t="str">
        <f t="shared" si="315"/>
        <v>gylle</v>
      </c>
      <c r="S282" s="561">
        <f t="shared" si="316"/>
        <v>72.400000000000006</v>
      </c>
      <c r="T282" s="561">
        <f t="shared" si="317"/>
        <v>50.2</v>
      </c>
      <c r="U282" s="352">
        <f t="shared" si="318"/>
        <v>0.3</v>
      </c>
      <c r="V282" s="352">
        <f t="shared" si="319"/>
        <v>0.46537500000000004</v>
      </c>
      <c r="W282" s="352">
        <f t="shared" si="320"/>
        <v>88.421250000000001</v>
      </c>
      <c r="X282" s="142"/>
      <c r="Y282" s="561">
        <f t="shared" si="321"/>
        <v>533.12</v>
      </c>
      <c r="Z282" s="142"/>
      <c r="AA282" s="352" t="str">
        <f t="shared" si="322"/>
        <v>kki_Sengestald med spaltegulv (kanal, bagskyl eller ringkanal) - gylle</v>
      </c>
    </row>
    <row r="283" spans="1:27" x14ac:dyDescent="0.25">
      <c r="A283" s="21">
        <v>1243</v>
      </c>
      <c r="B283">
        <v>11</v>
      </c>
      <c r="C283" t="s">
        <v>42</v>
      </c>
      <c r="D283" t="s">
        <v>23</v>
      </c>
      <c r="E283" s="132">
        <f t="shared" si="323"/>
        <v>72.400000000000006</v>
      </c>
      <c r="F283" s="20">
        <f t="shared" si="324"/>
        <v>50.2</v>
      </c>
      <c r="G283">
        <v>0.3</v>
      </c>
      <c r="H283" s="35">
        <f t="shared" si="325"/>
        <v>0.46537500000000004</v>
      </c>
      <c r="I283" s="39">
        <f t="shared" si="309"/>
        <v>88.421250000000001</v>
      </c>
      <c r="J283" s="21"/>
      <c r="K283" s="20">
        <f t="shared" si="326"/>
        <v>533.12</v>
      </c>
      <c r="M283" t="str">
        <f t="shared" si="313"/>
        <v>Sengestald, fast drænet gulv med skra- ber og ajleafløb *) - gylle</v>
      </c>
      <c r="N283" s="195" t="s">
        <v>210</v>
      </c>
      <c r="O283" s="662" t="s">
        <v>210</v>
      </c>
      <c r="P283" s="663"/>
      <c r="Q283" s="352" t="str">
        <f t="shared" si="314"/>
        <v>Sengestald, fast drænet gulv med skra- ber og ajleafløb *)</v>
      </c>
      <c r="R283" s="352" t="str">
        <f t="shared" si="315"/>
        <v>gylle</v>
      </c>
      <c r="S283" s="561">
        <f t="shared" si="316"/>
        <v>72.400000000000006</v>
      </c>
      <c r="T283" s="561">
        <f t="shared" si="317"/>
        <v>50.2</v>
      </c>
      <c r="U283" s="352">
        <f t="shared" si="318"/>
        <v>0.3</v>
      </c>
      <c r="V283" s="352">
        <f t="shared" si="319"/>
        <v>0.46537500000000004</v>
      </c>
      <c r="W283" s="352">
        <f t="shared" si="320"/>
        <v>88.421250000000001</v>
      </c>
      <c r="X283" s="142"/>
      <c r="Y283" s="561">
        <f t="shared" si="321"/>
        <v>533.12</v>
      </c>
      <c r="Z283" s="142"/>
      <c r="AA283" s="352" t="str">
        <f t="shared" si="322"/>
        <v>kki_Sengestald, fast drænet gulv med skra- ber og ajleafløb *) - gylle</v>
      </c>
    </row>
    <row r="284" spans="1:27" x14ac:dyDescent="0.25">
      <c r="A284" s="21">
        <v>1243</v>
      </c>
      <c r="B284">
        <v>3</v>
      </c>
      <c r="C284" t="s">
        <v>40</v>
      </c>
      <c r="D284" t="s">
        <v>27</v>
      </c>
      <c r="E284" s="132">
        <f t="shared" si="323"/>
        <v>72.400000000000006</v>
      </c>
      <c r="F284" s="20"/>
      <c r="G284">
        <v>8</v>
      </c>
      <c r="H284" s="35">
        <f t="shared" si="325"/>
        <v>12.41</v>
      </c>
      <c r="I284" s="39">
        <f t="shared" si="309"/>
        <v>2357.9</v>
      </c>
      <c r="J284" s="21"/>
      <c r="K284" s="20">
        <f t="shared" si="326"/>
        <v>533.12</v>
      </c>
      <c r="M284" t="str">
        <f t="shared" si="313"/>
        <v>Dybstrøelse, hele arealet - dybstrøelse</v>
      </c>
      <c r="N284" s="195" t="s">
        <v>210</v>
      </c>
      <c r="O284" s="662" t="s">
        <v>210</v>
      </c>
      <c r="P284" s="663"/>
      <c r="Q284" s="352" t="str">
        <f t="shared" si="314"/>
        <v>Dybstrøelse, hele arealet</v>
      </c>
      <c r="R284" s="352" t="str">
        <f t="shared" si="315"/>
        <v>dybstrøelse</v>
      </c>
      <c r="S284" s="561">
        <f t="shared" si="316"/>
        <v>72.400000000000006</v>
      </c>
      <c r="T284" s="561">
        <f t="shared" si="317"/>
        <v>0</v>
      </c>
      <c r="U284" s="352">
        <f t="shared" si="318"/>
        <v>8</v>
      </c>
      <c r="V284" s="352">
        <f t="shared" si="319"/>
        <v>12.41</v>
      </c>
      <c r="W284" s="352">
        <f t="shared" si="320"/>
        <v>2357.9</v>
      </c>
      <c r="X284" s="142"/>
      <c r="Y284" s="561">
        <f t="shared" si="321"/>
        <v>533.12</v>
      </c>
      <c r="Z284" s="142"/>
      <c r="AA284" s="352" t="str">
        <f t="shared" si="322"/>
        <v>kki_Dybstrøelse, hele arealet - dybstrøelse</v>
      </c>
    </row>
    <row r="285" spans="1:27" x14ac:dyDescent="0.25">
      <c r="A285" s="21">
        <v>1243</v>
      </c>
      <c r="B285">
        <v>4</v>
      </c>
      <c r="C285" t="s">
        <v>36</v>
      </c>
      <c r="D285" s="130" t="s">
        <v>27</v>
      </c>
      <c r="E285" s="132">
        <f t="shared" si="323"/>
        <v>72.400000000000006</v>
      </c>
      <c r="F285" s="20"/>
      <c r="G285">
        <v>7</v>
      </c>
      <c r="H285" s="35">
        <f t="shared" si="325"/>
        <v>10.858750000000001</v>
      </c>
      <c r="I285" s="39">
        <f t="shared" si="309"/>
        <v>2063.1624999999999</v>
      </c>
      <c r="J285" s="21"/>
      <c r="K285" s="20">
        <f t="shared" si="326"/>
        <v>533.12</v>
      </c>
      <c r="M285" t="str">
        <f t="shared" si="313"/>
        <v>Dybstrøelse + kort ædeplads med fast gulv - dybstrøelse</v>
      </c>
      <c r="N285" s="195" t="s">
        <v>210</v>
      </c>
      <c r="O285" s="662" t="s">
        <v>210</v>
      </c>
      <c r="P285" s="663"/>
      <c r="Q285" s="352" t="str">
        <f t="shared" si="314"/>
        <v>Dybstrøelse + kort ædeplads med fast gulv</v>
      </c>
      <c r="R285" s="352" t="str">
        <f t="shared" si="315"/>
        <v>dybstrøelse</v>
      </c>
      <c r="S285" s="561">
        <f t="shared" si="316"/>
        <v>72.400000000000006</v>
      </c>
      <c r="T285" s="561">
        <f t="shared" si="317"/>
        <v>0</v>
      </c>
      <c r="U285" s="352">
        <f t="shared" si="318"/>
        <v>7</v>
      </c>
      <c r="V285" s="352">
        <f t="shared" si="319"/>
        <v>10.858750000000001</v>
      </c>
      <c r="W285" s="352">
        <f t="shared" si="320"/>
        <v>2063.1624999999999</v>
      </c>
      <c r="X285" s="142"/>
      <c r="Y285" s="561">
        <f t="shared" si="321"/>
        <v>533.12</v>
      </c>
      <c r="Z285" s="142"/>
      <c r="AA285" s="352" t="str">
        <f t="shared" si="322"/>
        <v>kki_Dybstrøelse + kort ædeplads med fast gulv - dybstrøelse</v>
      </c>
    </row>
    <row r="286" spans="1:27" x14ac:dyDescent="0.25">
      <c r="A286" s="21">
        <v>1243</v>
      </c>
      <c r="B286">
        <v>5</v>
      </c>
      <c r="C286" t="s">
        <v>28</v>
      </c>
      <c r="D286" s="130" t="s">
        <v>27</v>
      </c>
      <c r="E286" s="132">
        <f>$E$277*0.6</f>
        <v>43.440000000000005</v>
      </c>
      <c r="F286" s="20"/>
      <c r="G286">
        <v>6</v>
      </c>
      <c r="H286" s="35">
        <f t="shared" si="325"/>
        <v>9.3074999999999992</v>
      </c>
      <c r="I286" s="39">
        <f t="shared" si="309"/>
        <v>1768.425</v>
      </c>
      <c r="J286" s="21"/>
      <c r="K286" s="20">
        <f>$K$277*0.6</f>
        <v>319.87200000000001</v>
      </c>
      <c r="M286" t="str">
        <f t="shared" si="313"/>
        <v>Dybstrøelse, lang ædeplads med fast gulv - dybstrøelse</v>
      </c>
      <c r="N286" s="195" t="s">
        <v>210</v>
      </c>
      <c r="O286" s="662" t="s">
        <v>210</v>
      </c>
      <c r="P286" s="663"/>
      <c r="Q286" s="352" t="str">
        <f t="shared" si="314"/>
        <v>Dybstrøelse, lang ædeplads med fast gulv</v>
      </c>
      <c r="R286" s="352" t="str">
        <f t="shared" si="315"/>
        <v>dybstrøelse</v>
      </c>
      <c r="S286" s="561">
        <f t="shared" si="316"/>
        <v>43.440000000000005</v>
      </c>
      <c r="T286" s="561">
        <f t="shared" si="317"/>
        <v>0</v>
      </c>
      <c r="U286" s="352">
        <f t="shared" si="318"/>
        <v>6</v>
      </c>
      <c r="V286" s="352">
        <f t="shared" si="319"/>
        <v>9.3074999999999992</v>
      </c>
      <c r="W286" s="352">
        <f t="shared" si="320"/>
        <v>1768.425</v>
      </c>
      <c r="X286" s="142"/>
      <c r="Y286" s="561">
        <f t="shared" si="321"/>
        <v>319.87200000000001</v>
      </c>
      <c r="Z286" s="142"/>
      <c r="AA286" s="352" t="str">
        <f t="shared" si="322"/>
        <v>kki_Dybstrøelse, lang ædeplads med fast gulv - dybstrøelse</v>
      </c>
    </row>
    <row r="287" spans="1:27" x14ac:dyDescent="0.25">
      <c r="A287" s="21">
        <v>1243</v>
      </c>
      <c r="B287">
        <v>5</v>
      </c>
      <c r="C287" t="s">
        <v>28</v>
      </c>
      <c r="D287" s="130" t="s">
        <v>23</v>
      </c>
      <c r="E287" s="132">
        <f>$E$277*0.4</f>
        <v>28.960000000000004</v>
      </c>
      <c r="F287" s="20">
        <f>$F$277*0.4</f>
        <v>20.080000000000002</v>
      </c>
      <c r="H287" s="35"/>
      <c r="I287" s="39">
        <f t="shared" si="309"/>
        <v>0</v>
      </c>
      <c r="J287" s="21"/>
      <c r="K287" s="20">
        <f>$K$277*0.4</f>
        <v>213.24800000000002</v>
      </c>
      <c r="M287" t="str">
        <f t="shared" si="313"/>
        <v>Dybstrøelse, lang ædeplads med fast gulv - gylle</v>
      </c>
      <c r="N287" s="195" t="s">
        <v>210</v>
      </c>
      <c r="O287" s="662" t="s">
        <v>210</v>
      </c>
      <c r="P287" s="663"/>
      <c r="Q287" s="352" t="str">
        <f t="shared" si="314"/>
        <v>Dybstrøelse, lang ædeplads med fast gulv</v>
      </c>
      <c r="R287" s="352" t="str">
        <f t="shared" si="315"/>
        <v>gylle</v>
      </c>
      <c r="S287" s="561">
        <f t="shared" si="316"/>
        <v>28.960000000000004</v>
      </c>
      <c r="T287" s="561">
        <f t="shared" si="317"/>
        <v>20.080000000000002</v>
      </c>
      <c r="U287" s="352">
        <f t="shared" si="318"/>
        <v>0</v>
      </c>
      <c r="V287" s="352">
        <f t="shared" si="319"/>
        <v>0</v>
      </c>
      <c r="W287" s="352">
        <f t="shared" si="320"/>
        <v>0</v>
      </c>
      <c r="X287" s="142"/>
      <c r="Y287" s="561">
        <f t="shared" si="321"/>
        <v>213.24800000000002</v>
      </c>
      <c r="Z287" s="142"/>
      <c r="AA287" s="352" t="str">
        <f t="shared" si="322"/>
        <v>kki_Dybstrøelse, lang ædeplads med fast gulv - gylle</v>
      </c>
    </row>
    <row r="288" spans="1:27" x14ac:dyDescent="0.25">
      <c r="A288" s="21">
        <v>1243</v>
      </c>
      <c r="B288">
        <v>6</v>
      </c>
      <c r="C288" t="s">
        <v>29</v>
      </c>
      <c r="D288" s="130" t="s">
        <v>27</v>
      </c>
      <c r="E288" s="132">
        <f>$E$277*0.6</f>
        <v>43.440000000000005</v>
      </c>
      <c r="F288" s="20"/>
      <c r="G288">
        <v>6</v>
      </c>
      <c r="H288" s="35">
        <f>G288*0.85*365*$H$5</f>
        <v>9.3074999999999992</v>
      </c>
      <c r="I288" s="39">
        <f t="shared" si="309"/>
        <v>1768.425</v>
      </c>
      <c r="J288" s="21"/>
      <c r="K288" s="20">
        <f>$K$277*0.6</f>
        <v>319.87200000000001</v>
      </c>
      <c r="M288" t="str">
        <f t="shared" si="313"/>
        <v>Dybstrøelse, lang ædeplads med spalter (kanal, linespil) - dybstrøelse</v>
      </c>
      <c r="N288" s="195" t="s">
        <v>210</v>
      </c>
      <c r="O288" s="662" t="s">
        <v>210</v>
      </c>
      <c r="P288" s="663"/>
      <c r="Q288" s="352" t="str">
        <f t="shared" si="314"/>
        <v>Dybstrøelse, lang ædeplads med spalter (kanal, linespil)</v>
      </c>
      <c r="R288" s="352" t="str">
        <f t="shared" si="315"/>
        <v>dybstrøelse</v>
      </c>
      <c r="S288" s="561">
        <f t="shared" si="316"/>
        <v>43.440000000000005</v>
      </c>
      <c r="T288" s="561">
        <f t="shared" si="317"/>
        <v>0</v>
      </c>
      <c r="U288" s="352">
        <f t="shared" si="318"/>
        <v>6</v>
      </c>
      <c r="V288" s="352">
        <f t="shared" si="319"/>
        <v>9.3074999999999992</v>
      </c>
      <c r="W288" s="352">
        <f t="shared" si="320"/>
        <v>1768.425</v>
      </c>
      <c r="X288" s="142"/>
      <c r="Y288" s="561">
        <f t="shared" si="321"/>
        <v>319.87200000000001</v>
      </c>
      <c r="Z288" s="142"/>
      <c r="AA288" s="352" t="str">
        <f t="shared" si="322"/>
        <v>kki_Dybstrøelse, lang ædeplads med spalter (kanal, linespil) - dybstrøelse</v>
      </c>
    </row>
    <row r="289" spans="1:27" x14ac:dyDescent="0.25">
      <c r="A289" s="21">
        <v>1243</v>
      </c>
      <c r="B289">
        <v>7</v>
      </c>
      <c r="C289" t="s">
        <v>29</v>
      </c>
      <c r="D289" s="130" t="s">
        <v>23</v>
      </c>
      <c r="E289" s="132">
        <f>$E$277*0.4</f>
        <v>28.960000000000004</v>
      </c>
      <c r="F289" s="20">
        <f>$F$277*0.4</f>
        <v>20.080000000000002</v>
      </c>
      <c r="H289" s="35"/>
      <c r="I289" s="39">
        <f t="shared" si="309"/>
        <v>0</v>
      </c>
      <c r="J289" s="21"/>
      <c r="K289" s="20">
        <f>$K$277*0.4</f>
        <v>213.24800000000002</v>
      </c>
      <c r="M289" t="str">
        <f t="shared" si="313"/>
        <v>Dybstrøelse, lang ædeplads med spalter (kanal, linespil) - gylle</v>
      </c>
      <c r="N289" s="195" t="s">
        <v>210</v>
      </c>
      <c r="O289" s="662" t="s">
        <v>210</v>
      </c>
      <c r="P289" s="663"/>
      <c r="Q289" s="352" t="str">
        <f t="shared" si="314"/>
        <v>Dybstrøelse, lang ædeplads med spalter (kanal, linespil)</v>
      </c>
      <c r="R289" s="352" t="str">
        <f t="shared" si="315"/>
        <v>gylle</v>
      </c>
      <c r="S289" s="561">
        <f t="shared" si="316"/>
        <v>28.960000000000004</v>
      </c>
      <c r="T289" s="561">
        <f t="shared" si="317"/>
        <v>20.080000000000002</v>
      </c>
      <c r="U289" s="352">
        <f t="shared" si="318"/>
        <v>0</v>
      </c>
      <c r="V289" s="352">
        <f t="shared" si="319"/>
        <v>0</v>
      </c>
      <c r="W289" s="352">
        <f t="shared" si="320"/>
        <v>0</v>
      </c>
      <c r="X289" s="142"/>
      <c r="Y289" s="561">
        <f t="shared" si="321"/>
        <v>213.24800000000002</v>
      </c>
      <c r="Z289" s="142"/>
      <c r="AA289" s="352" t="str">
        <f t="shared" si="322"/>
        <v>kki_Dybstrøelse, lang ædeplads med spalter (kanal, linespil) - gylle</v>
      </c>
    </row>
    <row r="290" spans="1:27" x14ac:dyDescent="0.25">
      <c r="A290" s="21">
        <v>1243</v>
      </c>
      <c r="B290">
        <v>7</v>
      </c>
      <c r="C290" t="s">
        <v>30</v>
      </c>
      <c r="D290" s="130" t="s">
        <v>27</v>
      </c>
      <c r="E290" s="132">
        <f>$E$277*0.6</f>
        <v>43.440000000000005</v>
      </c>
      <c r="F290" s="20"/>
      <c r="G290">
        <v>6</v>
      </c>
      <c r="H290" s="35">
        <f>G290*0.85*365*$H$5</f>
        <v>9.3074999999999992</v>
      </c>
      <c r="I290" s="39">
        <f t="shared" si="309"/>
        <v>1768.425</v>
      </c>
      <c r="J290" s="21"/>
      <c r="K290" s="20">
        <f>$K$277*0.6</f>
        <v>319.87200000000001</v>
      </c>
      <c r="M290" t="str">
        <f t="shared" si="313"/>
        <v>Dybstrøelse, lang ædeplads med spalter (kanal, bagskyl eller ringkanal) - dybstrøelse</v>
      </c>
      <c r="N290" s="195" t="s">
        <v>210</v>
      </c>
      <c r="O290" s="662" t="s">
        <v>210</v>
      </c>
      <c r="P290" s="663"/>
      <c r="Q290" s="352" t="str">
        <f t="shared" si="314"/>
        <v>Dybstrøelse, lang ædeplads med spalter (kanal, bagskyl eller ringkanal)</v>
      </c>
      <c r="R290" s="352" t="str">
        <f t="shared" si="315"/>
        <v>dybstrøelse</v>
      </c>
      <c r="S290" s="561">
        <f t="shared" si="316"/>
        <v>43.440000000000005</v>
      </c>
      <c r="T290" s="561">
        <f t="shared" si="317"/>
        <v>0</v>
      </c>
      <c r="U290" s="352">
        <f t="shared" si="318"/>
        <v>6</v>
      </c>
      <c r="V290" s="352">
        <f t="shared" si="319"/>
        <v>9.3074999999999992</v>
      </c>
      <c r="W290" s="352">
        <f t="shared" si="320"/>
        <v>1768.425</v>
      </c>
      <c r="X290" s="142"/>
      <c r="Y290" s="561">
        <f t="shared" si="321"/>
        <v>319.87200000000001</v>
      </c>
      <c r="Z290" s="142"/>
      <c r="AA290" s="352" t="str">
        <f t="shared" si="322"/>
        <v>kki_Dybstrøelse, lang ædeplads med spalter (kanal, bagskyl eller ringkanal) - dybstrøelse</v>
      </c>
    </row>
    <row r="291" spans="1:27" x14ac:dyDescent="0.25">
      <c r="A291" s="21">
        <v>1243</v>
      </c>
      <c r="B291">
        <v>8</v>
      </c>
      <c r="C291" t="s">
        <v>30</v>
      </c>
      <c r="D291" s="133" t="s">
        <v>23</v>
      </c>
      <c r="E291" s="30">
        <f>$E$277*0.4</f>
        <v>28.960000000000004</v>
      </c>
      <c r="F291" s="31">
        <f>$F$277*0.4</f>
        <v>20.080000000000002</v>
      </c>
      <c r="H291" s="35"/>
      <c r="J291" s="29"/>
      <c r="K291" s="31">
        <f>$K$277*0.4</f>
        <v>213.24800000000002</v>
      </c>
      <c r="M291" t="str">
        <f t="shared" si="313"/>
        <v>Dybstrøelse, lang ædeplads med spalter (kanal, bagskyl eller ringkanal) - gylle</v>
      </c>
      <c r="N291" s="195" t="s">
        <v>210</v>
      </c>
      <c r="O291" s="662" t="s">
        <v>210</v>
      </c>
      <c r="P291" s="663"/>
      <c r="Q291" s="352" t="str">
        <f t="shared" si="314"/>
        <v>Dybstrøelse, lang ædeplads med spalter (kanal, bagskyl eller ringkanal)</v>
      </c>
      <c r="R291" s="352" t="str">
        <f t="shared" si="315"/>
        <v>gylle</v>
      </c>
      <c r="S291" s="561">
        <f t="shared" si="316"/>
        <v>28.960000000000004</v>
      </c>
      <c r="T291" s="561">
        <f t="shared" si="317"/>
        <v>20.080000000000002</v>
      </c>
      <c r="U291" s="352">
        <f t="shared" si="318"/>
        <v>0</v>
      </c>
      <c r="V291" s="352">
        <f t="shared" si="319"/>
        <v>0</v>
      </c>
      <c r="W291" s="352">
        <f t="shared" si="320"/>
        <v>0</v>
      </c>
      <c r="X291" s="142"/>
      <c r="Y291" s="561">
        <f t="shared" si="321"/>
        <v>213.24800000000002</v>
      </c>
      <c r="Z291" s="142"/>
      <c r="AA291" s="352" t="str">
        <f t="shared" si="322"/>
        <v>kki_Dybstrøelse, lang ædeplads med spalter (kanal, bagskyl eller ringkanal) - gylle</v>
      </c>
    </row>
    <row r="292" spans="1:27" x14ac:dyDescent="0.25">
      <c r="C292" s="342" t="str">
        <f>C22</f>
        <v>Årsopdræt, 0-6 mdr., småkalv, tung race</v>
      </c>
      <c r="D292" s="311"/>
      <c r="E292" s="311"/>
      <c r="F292" s="311"/>
      <c r="G292" s="311"/>
      <c r="H292" s="311"/>
      <c r="I292" s="311"/>
      <c r="J292" s="311"/>
      <c r="K292" s="311"/>
      <c r="N292" s="195" t="s">
        <v>210</v>
      </c>
      <c r="O292" s="662" t="s">
        <v>210</v>
      </c>
      <c r="P292" s="663"/>
      <c r="Q292" s="352"/>
      <c r="R292" s="352"/>
      <c r="S292" s="236"/>
      <c r="T292" s="236"/>
      <c r="U292" s="352"/>
      <c r="V292" s="352"/>
      <c r="W292" s="352"/>
      <c r="Y292" s="236" t="s">
        <v>210</v>
      </c>
      <c r="AA292" s="352"/>
    </row>
    <row r="293" spans="1:27" x14ac:dyDescent="0.25">
      <c r="C293" s="311" t="str">
        <f t="shared" ref="C293:K295" si="327">C23</f>
        <v>Normtal</v>
      </c>
      <c r="D293" s="311">
        <f t="shared" si="327"/>
        <v>0.7078651685393258</v>
      </c>
      <c r="E293" s="311">
        <f t="shared" si="327"/>
        <v>26.7</v>
      </c>
      <c r="F293" s="311">
        <f t="shared" si="327"/>
        <v>18.899999999999999</v>
      </c>
      <c r="G293" s="311">
        <f t="shared" si="327"/>
        <v>0</v>
      </c>
      <c r="H293" s="311">
        <f t="shared" si="327"/>
        <v>0</v>
      </c>
      <c r="I293" s="311">
        <f t="shared" si="327"/>
        <v>0</v>
      </c>
      <c r="J293" s="311">
        <f t="shared" si="327"/>
        <v>2.46</v>
      </c>
      <c r="K293" s="311">
        <f t="shared" si="327"/>
        <v>157.44000000000003</v>
      </c>
      <c r="N293" s="134" t="str">
        <f>C292</f>
        <v>Årsopdræt, 0-6 mdr., småkalv, tung race</v>
      </c>
      <c r="O293" s="662"/>
      <c r="P293" s="663"/>
      <c r="Q293" s="353" t="s">
        <v>468</v>
      </c>
      <c r="R293" s="354"/>
      <c r="S293" s="561">
        <f t="shared" ref="S293:T295" si="328">E293*$P$294</f>
        <v>26.7</v>
      </c>
      <c r="T293" s="561">
        <f t="shared" si="328"/>
        <v>18.899999999999999</v>
      </c>
      <c r="U293" s="352"/>
      <c r="V293" s="352"/>
      <c r="W293" s="352"/>
      <c r="X293" s="142"/>
      <c r="Y293" s="561">
        <f>K293*$P$294</f>
        <v>157.44000000000003</v>
      </c>
      <c r="Z293" s="142"/>
      <c r="AA293" s="352"/>
    </row>
    <row r="294" spans="1:27" x14ac:dyDescent="0.25">
      <c r="C294" s="311" t="str">
        <f t="shared" si="327"/>
        <v>Dybstrøelse (hele arealet)</v>
      </c>
      <c r="D294" s="311" t="str">
        <f t="shared" si="327"/>
        <v>Dybstrøelse</v>
      </c>
      <c r="E294" s="311">
        <f t="shared" si="327"/>
        <v>26.7</v>
      </c>
      <c r="F294" s="311">
        <f t="shared" si="327"/>
        <v>18.899999999999999</v>
      </c>
      <c r="G294" s="311">
        <f t="shared" si="327"/>
        <v>1.5</v>
      </c>
      <c r="H294" s="311">
        <f t="shared" si="327"/>
        <v>2.3268749999999998</v>
      </c>
      <c r="I294" s="311">
        <f t="shared" si="327"/>
        <v>442.10624999999999</v>
      </c>
      <c r="J294" s="311">
        <f t="shared" si="327"/>
        <v>0</v>
      </c>
      <c r="K294" s="311">
        <f t="shared" si="327"/>
        <v>157.44000000000003</v>
      </c>
      <c r="N294" s="195" t="s">
        <v>205</v>
      </c>
      <c r="O294" s="662" t="s">
        <v>429</v>
      </c>
      <c r="P294" s="663">
        <v>1</v>
      </c>
      <c r="Q294" s="352" t="str">
        <f>C294</f>
        <v>Dybstrøelse (hele arealet)</v>
      </c>
      <c r="R294" s="352" t="str">
        <f>D294</f>
        <v>Dybstrøelse</v>
      </c>
      <c r="S294" s="561">
        <f t="shared" si="328"/>
        <v>26.7</v>
      </c>
      <c r="T294" s="561">
        <f t="shared" si="328"/>
        <v>18.899999999999999</v>
      </c>
      <c r="U294" s="352">
        <f t="shared" ref="U294" si="329">G294</f>
        <v>1.5</v>
      </c>
      <c r="V294" s="352">
        <f t="shared" ref="V294" si="330">H294</f>
        <v>2.3268749999999998</v>
      </c>
      <c r="W294" s="352">
        <f t="shared" ref="W294" si="331">I294</f>
        <v>442.10624999999999</v>
      </c>
      <c r="X294" s="142"/>
      <c r="Y294" s="561">
        <f>K294*$P$294</f>
        <v>157.44000000000003</v>
      </c>
      <c r="Z294" s="142"/>
      <c r="AA294" s="352" t="str">
        <f>$O$294&amp;"_"&amp;Q294&amp;" - "&amp;R294</f>
        <v>ak06i_Dybstrøelse (hele arealet) - Dybstrøelse</v>
      </c>
    </row>
    <row r="295" spans="1:27" x14ac:dyDescent="0.25">
      <c r="C295" s="311" t="str">
        <f t="shared" si="327"/>
        <v>Dybstrøelse + kort ædeplads med fast gulv</v>
      </c>
      <c r="D295" s="311" t="str">
        <f t="shared" si="327"/>
        <v>Dybstrøelse</v>
      </c>
      <c r="E295" s="311">
        <f t="shared" si="327"/>
        <v>26.7</v>
      </c>
      <c r="F295" s="311">
        <f t="shared" si="327"/>
        <v>18.899999999999999</v>
      </c>
      <c r="G295" s="311">
        <f t="shared" si="327"/>
        <v>1.5</v>
      </c>
      <c r="H295" s="311">
        <f t="shared" si="327"/>
        <v>2.3268749999999998</v>
      </c>
      <c r="I295" s="311">
        <f t="shared" si="327"/>
        <v>442.10624999999999</v>
      </c>
      <c r="J295" s="311">
        <f t="shared" si="327"/>
        <v>0</v>
      </c>
      <c r="K295" s="311">
        <f t="shared" si="327"/>
        <v>157.44000000000003</v>
      </c>
      <c r="N295" s="195" t="s">
        <v>206</v>
      </c>
      <c r="O295" s="662" t="s">
        <v>210</v>
      </c>
      <c r="P295" s="663"/>
      <c r="Q295" s="352" t="str">
        <f>C295</f>
        <v>Dybstrøelse + kort ædeplads med fast gulv</v>
      </c>
      <c r="R295" s="352" t="str">
        <f>D295</f>
        <v>Dybstrøelse</v>
      </c>
      <c r="S295" s="561">
        <f t="shared" si="328"/>
        <v>26.7</v>
      </c>
      <c r="T295" s="561">
        <f t="shared" si="328"/>
        <v>18.899999999999999</v>
      </c>
      <c r="U295" s="352">
        <f t="shared" ref="U295" si="332">G295</f>
        <v>1.5</v>
      </c>
      <c r="V295" s="352">
        <f t="shared" ref="V295" si="333">H295</f>
        <v>2.3268749999999998</v>
      </c>
      <c r="W295" s="352">
        <f t="shared" ref="W295" si="334">I295</f>
        <v>442.10624999999999</v>
      </c>
      <c r="X295" s="142"/>
      <c r="Y295" s="561">
        <f>K295*$P$294</f>
        <v>157.44000000000003</v>
      </c>
      <c r="Z295" s="142"/>
      <c r="AA295" s="352" t="str">
        <f>$O$294&amp;"_"&amp;Q295&amp;" - "&amp;R295</f>
        <v>ak06i_Dybstrøelse + kort ædeplads med fast gulv - Dybstrøelse</v>
      </c>
    </row>
    <row r="296" spans="1:27" x14ac:dyDescent="0.25">
      <c r="C296" s="342" t="str">
        <f>C30</f>
        <v>Årsopdræt 6 mdr. til kælvning (27 mdr) (kvier og stude), tung race</v>
      </c>
      <c r="D296" s="311"/>
      <c r="E296" s="311"/>
      <c r="F296" s="311"/>
      <c r="G296" s="311"/>
      <c r="H296" s="311"/>
      <c r="I296" s="311"/>
      <c r="J296" s="311"/>
      <c r="K296" s="311"/>
      <c r="N296" s="195" t="s">
        <v>206</v>
      </c>
      <c r="O296" s="662" t="s">
        <v>210</v>
      </c>
      <c r="P296" s="663"/>
      <c r="Q296" s="352"/>
      <c r="R296" s="352"/>
      <c r="S296" s="236"/>
      <c r="T296" s="236"/>
      <c r="U296" s="352"/>
      <c r="V296" s="352"/>
      <c r="W296" s="352"/>
      <c r="Y296" s="236"/>
      <c r="AA296" s="352"/>
    </row>
    <row r="297" spans="1:27" x14ac:dyDescent="0.25">
      <c r="C297" s="311" t="str">
        <f t="shared" ref="C297:K313" si="335">C31</f>
        <v>Normtal</v>
      </c>
      <c r="D297" s="311">
        <f t="shared" si="335"/>
        <v>0.67261904761904756</v>
      </c>
      <c r="E297" s="311">
        <f t="shared" si="335"/>
        <v>50.4</v>
      </c>
      <c r="F297" s="311">
        <f t="shared" si="335"/>
        <v>33.9</v>
      </c>
      <c r="G297" s="311">
        <f t="shared" si="335"/>
        <v>0</v>
      </c>
      <c r="H297" s="311">
        <f t="shared" si="335"/>
        <v>0</v>
      </c>
      <c r="I297" s="311">
        <f t="shared" si="335"/>
        <v>0</v>
      </c>
      <c r="J297" s="311">
        <f t="shared" si="335"/>
        <v>5.68</v>
      </c>
      <c r="K297" s="311">
        <f t="shared" si="335"/>
        <v>363.52000000000004</v>
      </c>
      <c r="N297" s="134" t="str">
        <f>C296</f>
        <v>Årsopdræt 6 mdr. til kælvning (27 mdr) (kvier og stude), tung race</v>
      </c>
      <c r="O297" s="662"/>
      <c r="P297" s="663"/>
      <c r="Q297" s="353" t="s">
        <v>469</v>
      </c>
      <c r="R297" s="354"/>
      <c r="S297" s="561">
        <f>E297*$P$298</f>
        <v>40.10643870967742</v>
      </c>
      <c r="T297" s="561">
        <f>F297*$P$298</f>
        <v>26.97635460829493</v>
      </c>
      <c r="U297" s="352"/>
      <c r="V297" s="352"/>
      <c r="W297" s="352"/>
      <c r="X297" s="142"/>
      <c r="Y297" s="561">
        <f>K297*$P$298</f>
        <v>289.27564682027656</v>
      </c>
      <c r="AA297" s="352"/>
    </row>
    <row r="298" spans="1:27" x14ac:dyDescent="0.25">
      <c r="C298" s="311" t="str">
        <f t="shared" si="335"/>
        <v>Bindestald med grebning</v>
      </c>
      <c r="D298" s="311" t="str">
        <f t="shared" si="335"/>
        <v>fast gødning</v>
      </c>
      <c r="E298" s="311">
        <f t="shared" si="335"/>
        <v>30.24</v>
      </c>
      <c r="F298" s="311">
        <f t="shared" si="335"/>
        <v>20.34</v>
      </c>
      <c r="G298" s="311">
        <f t="shared" si="335"/>
        <v>0.75</v>
      </c>
      <c r="H298" s="311">
        <f t="shared" si="335"/>
        <v>1.1634374999999999</v>
      </c>
      <c r="I298" s="311">
        <f t="shared" si="335"/>
        <v>221.05312499999999</v>
      </c>
      <c r="J298" s="311">
        <f t="shared" si="335"/>
        <v>0</v>
      </c>
      <c r="K298" s="311">
        <f t="shared" si="335"/>
        <v>218.11200000000002</v>
      </c>
      <c r="N298" s="195" t="s">
        <v>205</v>
      </c>
      <c r="O298" s="662" t="s">
        <v>310</v>
      </c>
      <c r="P298" s="663">
        <f>(((6 + 14.9) * 0.0729) + 1.93) / 4.34</f>
        <v>0.79576267281105995</v>
      </c>
      <c r="Q298" s="352" t="str">
        <f>C298</f>
        <v>Bindestald med grebning</v>
      </c>
      <c r="R298" s="352" t="str">
        <f>D298</f>
        <v>fast gødning</v>
      </c>
      <c r="S298" s="561">
        <f>E298*$P$298</f>
        <v>24.06386322580645</v>
      </c>
      <c r="T298" s="561">
        <f>F298*$P$298</f>
        <v>16.185812764976959</v>
      </c>
      <c r="U298" s="352">
        <f t="shared" ref="U298" si="336">G298</f>
        <v>0.75</v>
      </c>
      <c r="V298" s="352">
        <f t="shared" ref="V298" si="337">H298</f>
        <v>1.1634374999999999</v>
      </c>
      <c r="W298" s="352">
        <f t="shared" ref="W298" si="338">I298</f>
        <v>221.05312499999999</v>
      </c>
      <c r="X298" s="142"/>
      <c r="Y298" s="561">
        <f>K298*$P$298</f>
        <v>173.56538809216593</v>
      </c>
      <c r="AA298" s="352" t="str">
        <f>$O$298&amp;"_"&amp;Q298&amp;" - "&amp;R298</f>
        <v>aku18i_Bindestald med grebning - fast gødning</v>
      </c>
    </row>
    <row r="299" spans="1:27" x14ac:dyDescent="0.25">
      <c r="C299" s="311" t="str">
        <f t="shared" si="335"/>
        <v>Bindestald med grebning</v>
      </c>
      <c r="D299" s="311" t="str">
        <f t="shared" si="335"/>
        <v>ajle</v>
      </c>
      <c r="E299" s="311">
        <f t="shared" si="335"/>
        <v>20.16</v>
      </c>
      <c r="F299" s="311">
        <f t="shared" si="335"/>
        <v>13.56</v>
      </c>
      <c r="G299" s="311">
        <f t="shared" si="335"/>
        <v>0</v>
      </c>
      <c r="H299" s="311">
        <f t="shared" si="335"/>
        <v>0</v>
      </c>
      <c r="I299" s="311">
        <f t="shared" si="335"/>
        <v>0</v>
      </c>
      <c r="J299" s="311">
        <f t="shared" si="335"/>
        <v>0</v>
      </c>
      <c r="K299" s="311">
        <f t="shared" si="335"/>
        <v>145.40800000000002</v>
      </c>
      <c r="N299" s="195" t="s">
        <v>208</v>
      </c>
      <c r="O299" s="664" t="s">
        <v>488</v>
      </c>
      <c r="P299" s="663"/>
      <c r="Q299" s="352" t="str">
        <f t="shared" ref="Q299:Q313" si="339">C299</f>
        <v>Bindestald med grebning</v>
      </c>
      <c r="R299" s="352" t="str">
        <f t="shared" ref="R299:R313" si="340">D299</f>
        <v>ajle</v>
      </c>
      <c r="S299" s="561">
        <f t="shared" ref="S299:S313" si="341">E299*$P$298</f>
        <v>16.042575483870969</v>
      </c>
      <c r="T299" s="561">
        <f t="shared" ref="T299:T313" si="342">F299*$P$298</f>
        <v>10.790541843317973</v>
      </c>
      <c r="U299" s="352">
        <f t="shared" ref="U299:U313" si="343">G299</f>
        <v>0</v>
      </c>
      <c r="V299" s="352">
        <f t="shared" ref="V299:V313" si="344">H299</f>
        <v>0</v>
      </c>
      <c r="W299" s="352">
        <f t="shared" ref="W299:W313" si="345">I299</f>
        <v>0</v>
      </c>
      <c r="X299" s="142"/>
      <c r="Y299" s="561">
        <f t="shared" ref="Y299:Y313" si="346">K299*$P$298</f>
        <v>115.71025872811062</v>
      </c>
      <c r="AA299" s="352" t="str">
        <f t="shared" ref="AA299:AA313" si="347">$O$298&amp;"_"&amp;Q299&amp;" - "&amp;R299</f>
        <v>aku18i_Bindestald med grebning - ajle</v>
      </c>
    </row>
    <row r="300" spans="1:27" x14ac:dyDescent="0.25">
      <c r="C300" s="311" t="str">
        <f t="shared" si="335"/>
        <v>Bindestald med riste</v>
      </c>
      <c r="D300" s="311" t="str">
        <f t="shared" si="335"/>
        <v>gylle</v>
      </c>
      <c r="E300" s="311">
        <f t="shared" si="335"/>
        <v>50.4</v>
      </c>
      <c r="F300" s="311">
        <f t="shared" si="335"/>
        <v>33.9</v>
      </c>
      <c r="G300" s="311">
        <f t="shared" si="335"/>
        <v>0.75</v>
      </c>
      <c r="H300" s="311">
        <f t="shared" si="335"/>
        <v>1.1634374999999999</v>
      </c>
      <c r="I300" s="311">
        <f t="shared" si="335"/>
        <v>221.05312499999999</v>
      </c>
      <c r="J300" s="311">
        <f t="shared" si="335"/>
        <v>0</v>
      </c>
      <c r="K300" s="311">
        <f t="shared" si="335"/>
        <v>363.52000000000004</v>
      </c>
      <c r="N300" s="195" t="s">
        <v>208</v>
      </c>
      <c r="O300" s="662"/>
      <c r="P300" s="663"/>
      <c r="Q300" s="352" t="str">
        <f t="shared" si="339"/>
        <v>Bindestald med riste</v>
      </c>
      <c r="R300" s="352" t="str">
        <f t="shared" si="340"/>
        <v>gylle</v>
      </c>
      <c r="S300" s="561">
        <f t="shared" si="341"/>
        <v>40.10643870967742</v>
      </c>
      <c r="T300" s="561">
        <f t="shared" si="342"/>
        <v>26.97635460829493</v>
      </c>
      <c r="U300" s="352">
        <f t="shared" si="343"/>
        <v>0.75</v>
      </c>
      <c r="V300" s="352">
        <f t="shared" si="344"/>
        <v>1.1634374999999999</v>
      </c>
      <c r="W300" s="352">
        <f t="shared" si="345"/>
        <v>221.05312499999999</v>
      </c>
      <c r="X300" s="142"/>
      <c r="Y300" s="561">
        <f t="shared" si="346"/>
        <v>289.27564682027656</v>
      </c>
      <c r="AA300" s="352" t="str">
        <f t="shared" si="347"/>
        <v>aku18i_Bindestald med riste - gylle</v>
      </c>
    </row>
    <row r="301" spans="1:27" x14ac:dyDescent="0.25">
      <c r="C301" s="311" t="str">
        <f t="shared" si="335"/>
        <v>Sengestald med fast gulv</v>
      </c>
      <c r="D301" s="311" t="str">
        <f t="shared" si="335"/>
        <v>gylle</v>
      </c>
      <c r="E301" s="311">
        <f t="shared" si="335"/>
        <v>50.4</v>
      </c>
      <c r="F301" s="311">
        <f t="shared" si="335"/>
        <v>33.9</v>
      </c>
      <c r="G301" s="311">
        <f t="shared" si="335"/>
        <v>0.3</v>
      </c>
      <c r="H301" s="311">
        <f t="shared" si="335"/>
        <v>0.46537500000000004</v>
      </c>
      <c r="I301" s="311">
        <f t="shared" si="335"/>
        <v>88.421250000000001</v>
      </c>
      <c r="J301" s="311">
        <f t="shared" si="335"/>
        <v>0</v>
      </c>
      <c r="K301" s="311">
        <f t="shared" si="335"/>
        <v>363.52000000000004</v>
      </c>
      <c r="O301" s="662"/>
      <c r="P301" s="663"/>
      <c r="Q301" s="352" t="str">
        <f t="shared" si="339"/>
        <v>Sengestald med fast gulv</v>
      </c>
      <c r="R301" s="352" t="str">
        <f t="shared" si="340"/>
        <v>gylle</v>
      </c>
      <c r="S301" s="561">
        <f t="shared" si="341"/>
        <v>40.10643870967742</v>
      </c>
      <c r="T301" s="561">
        <f t="shared" si="342"/>
        <v>26.97635460829493</v>
      </c>
      <c r="U301" s="352">
        <f t="shared" si="343"/>
        <v>0.3</v>
      </c>
      <c r="V301" s="352">
        <f t="shared" si="344"/>
        <v>0.46537500000000004</v>
      </c>
      <c r="W301" s="352">
        <f t="shared" si="345"/>
        <v>88.421250000000001</v>
      </c>
      <c r="X301" s="142"/>
      <c r="Y301" s="561">
        <f t="shared" si="346"/>
        <v>289.27564682027656</v>
      </c>
      <c r="AA301" s="352" t="str">
        <f t="shared" si="347"/>
        <v>aku18i_Sengestald med fast gulv - gylle</v>
      </c>
    </row>
    <row r="302" spans="1:27" x14ac:dyDescent="0.25">
      <c r="C302" s="311" t="str">
        <f t="shared" si="335"/>
        <v>Sengestald med spaltegulv (kanal, line- spil)</v>
      </c>
      <c r="D302" s="311" t="str">
        <f t="shared" si="335"/>
        <v>gylle</v>
      </c>
      <c r="E302" s="311">
        <f t="shared" si="335"/>
        <v>50.4</v>
      </c>
      <c r="F302" s="311">
        <f t="shared" si="335"/>
        <v>33.9</v>
      </c>
      <c r="G302" s="311">
        <f t="shared" si="335"/>
        <v>0.3</v>
      </c>
      <c r="H302" s="311">
        <f t="shared" si="335"/>
        <v>0.46537500000000004</v>
      </c>
      <c r="I302" s="311">
        <f t="shared" si="335"/>
        <v>88.421250000000001</v>
      </c>
      <c r="J302" s="311">
        <f t="shared" si="335"/>
        <v>0</v>
      </c>
      <c r="K302" s="311">
        <f t="shared" si="335"/>
        <v>363.52000000000004</v>
      </c>
      <c r="O302" s="662"/>
      <c r="P302" s="663"/>
      <c r="Q302" s="352" t="str">
        <f t="shared" si="339"/>
        <v>Sengestald med spaltegulv (kanal, line- spil)</v>
      </c>
      <c r="R302" s="352" t="str">
        <f t="shared" si="340"/>
        <v>gylle</v>
      </c>
      <c r="S302" s="561">
        <f t="shared" si="341"/>
        <v>40.10643870967742</v>
      </c>
      <c r="T302" s="561">
        <f t="shared" si="342"/>
        <v>26.97635460829493</v>
      </c>
      <c r="U302" s="352">
        <f t="shared" si="343"/>
        <v>0.3</v>
      </c>
      <c r="V302" s="352">
        <f t="shared" si="344"/>
        <v>0.46537500000000004</v>
      </c>
      <c r="W302" s="352">
        <f t="shared" si="345"/>
        <v>88.421250000000001</v>
      </c>
      <c r="X302" s="142"/>
      <c r="Y302" s="561">
        <f t="shared" si="346"/>
        <v>289.27564682027656</v>
      </c>
      <c r="AA302" s="352" t="str">
        <f t="shared" si="347"/>
        <v>aku18i_Sengestald med spaltegulv (kanal, line- spil) - gylle</v>
      </c>
    </row>
    <row r="303" spans="1:27" x14ac:dyDescent="0.25">
      <c r="C303" s="311" t="str">
        <f t="shared" si="335"/>
        <v>Sengestald med spaltegulv (kanal, bagskyl eller ringkanal)</v>
      </c>
      <c r="D303" s="311" t="str">
        <f t="shared" si="335"/>
        <v>gylle</v>
      </c>
      <c r="E303" s="311">
        <f t="shared" si="335"/>
        <v>50.4</v>
      </c>
      <c r="F303" s="311">
        <f t="shared" si="335"/>
        <v>33.9</v>
      </c>
      <c r="G303" s="311">
        <f t="shared" si="335"/>
        <v>0.3</v>
      </c>
      <c r="H303" s="311">
        <f t="shared" si="335"/>
        <v>0.46537500000000004</v>
      </c>
      <c r="I303" s="311">
        <f t="shared" si="335"/>
        <v>88.421250000000001</v>
      </c>
      <c r="J303" s="311">
        <f t="shared" si="335"/>
        <v>0</v>
      </c>
      <c r="K303" s="311">
        <f t="shared" si="335"/>
        <v>363.52000000000004</v>
      </c>
      <c r="O303" s="662"/>
      <c r="P303" s="663"/>
      <c r="Q303" s="352" t="str">
        <f t="shared" si="339"/>
        <v>Sengestald med spaltegulv (kanal, bagskyl eller ringkanal)</v>
      </c>
      <c r="R303" s="352" t="str">
        <f t="shared" si="340"/>
        <v>gylle</v>
      </c>
      <c r="S303" s="561">
        <f t="shared" si="341"/>
        <v>40.10643870967742</v>
      </c>
      <c r="T303" s="561">
        <f t="shared" si="342"/>
        <v>26.97635460829493</v>
      </c>
      <c r="U303" s="352">
        <f t="shared" si="343"/>
        <v>0.3</v>
      </c>
      <c r="V303" s="352">
        <f t="shared" si="344"/>
        <v>0.46537500000000004</v>
      </c>
      <c r="W303" s="352">
        <f t="shared" si="345"/>
        <v>88.421250000000001</v>
      </c>
      <c r="X303" s="142"/>
      <c r="Y303" s="561">
        <f t="shared" si="346"/>
        <v>289.27564682027656</v>
      </c>
      <c r="AA303" s="352" t="str">
        <f t="shared" si="347"/>
        <v>aku18i_Sengestald med spaltegulv (kanal, bagskyl eller ringkanal) - gylle</v>
      </c>
    </row>
    <row r="304" spans="1:27" x14ac:dyDescent="0.25">
      <c r="C304" s="311" t="str">
        <f t="shared" si="335"/>
        <v>Sengestald, fast drænet gulv med skraber og ajleafløb *)</v>
      </c>
      <c r="D304" s="311" t="str">
        <f t="shared" si="335"/>
        <v>gylle</v>
      </c>
      <c r="E304" s="311">
        <f t="shared" si="335"/>
        <v>50.4</v>
      </c>
      <c r="F304" s="311">
        <f t="shared" si="335"/>
        <v>33.9</v>
      </c>
      <c r="G304" s="311">
        <f t="shared" si="335"/>
        <v>0.3</v>
      </c>
      <c r="H304" s="311">
        <f t="shared" si="335"/>
        <v>0.46537500000000004</v>
      </c>
      <c r="I304" s="311">
        <f t="shared" si="335"/>
        <v>88.421250000000001</v>
      </c>
      <c r="J304" s="311">
        <f t="shared" si="335"/>
        <v>0</v>
      </c>
      <c r="K304" s="311">
        <f t="shared" si="335"/>
        <v>363.52000000000004</v>
      </c>
      <c r="O304" s="662"/>
      <c r="P304" s="663"/>
      <c r="Q304" s="352" t="str">
        <f t="shared" si="339"/>
        <v>Sengestald, fast drænet gulv med skraber og ajleafløb *)</v>
      </c>
      <c r="R304" s="352" t="str">
        <f t="shared" si="340"/>
        <v>gylle</v>
      </c>
      <c r="S304" s="561">
        <f t="shared" si="341"/>
        <v>40.10643870967742</v>
      </c>
      <c r="T304" s="561">
        <f t="shared" si="342"/>
        <v>26.97635460829493</v>
      </c>
      <c r="U304" s="352">
        <f t="shared" si="343"/>
        <v>0.3</v>
      </c>
      <c r="V304" s="352">
        <f t="shared" si="344"/>
        <v>0.46537500000000004</v>
      </c>
      <c r="W304" s="352">
        <f t="shared" si="345"/>
        <v>88.421250000000001</v>
      </c>
      <c r="X304" s="142"/>
      <c r="Y304" s="561">
        <f t="shared" si="346"/>
        <v>289.27564682027656</v>
      </c>
      <c r="AA304" s="352" t="str">
        <f t="shared" si="347"/>
        <v>aku18i_Sengestald, fast drænet gulv med skraber og ajleafløb *) - gylle</v>
      </c>
    </row>
    <row r="305" spans="3:27" x14ac:dyDescent="0.25">
      <c r="C305" s="311" t="str">
        <f t="shared" si="335"/>
        <v>Dybstrøelse, hele arealet</v>
      </c>
      <c r="D305" s="311" t="str">
        <f t="shared" si="335"/>
        <v>dybstrøelse</v>
      </c>
      <c r="E305" s="311">
        <f t="shared" si="335"/>
        <v>50.4</v>
      </c>
      <c r="F305" s="311">
        <f t="shared" si="335"/>
        <v>0</v>
      </c>
      <c r="G305" s="311">
        <f t="shared" si="335"/>
        <v>6</v>
      </c>
      <c r="H305" s="311">
        <f t="shared" si="335"/>
        <v>9.3074999999999992</v>
      </c>
      <c r="I305" s="311">
        <f t="shared" si="335"/>
        <v>1768.425</v>
      </c>
      <c r="J305" s="311">
        <f t="shared" si="335"/>
        <v>0</v>
      </c>
      <c r="K305" s="311">
        <f t="shared" si="335"/>
        <v>363.52000000000004</v>
      </c>
      <c r="O305" s="662"/>
      <c r="P305" s="663"/>
      <c r="Q305" s="352" t="str">
        <f t="shared" si="339"/>
        <v>Dybstrøelse, hele arealet</v>
      </c>
      <c r="R305" s="352" t="str">
        <f t="shared" si="340"/>
        <v>dybstrøelse</v>
      </c>
      <c r="S305" s="561">
        <f t="shared" si="341"/>
        <v>40.10643870967742</v>
      </c>
      <c r="T305" s="561">
        <f t="shared" si="342"/>
        <v>0</v>
      </c>
      <c r="U305" s="352">
        <f t="shared" si="343"/>
        <v>6</v>
      </c>
      <c r="V305" s="352">
        <f t="shared" si="344"/>
        <v>9.3074999999999992</v>
      </c>
      <c r="W305" s="352">
        <f t="shared" si="345"/>
        <v>1768.425</v>
      </c>
      <c r="X305" s="142"/>
      <c r="Y305" s="561">
        <f t="shared" si="346"/>
        <v>289.27564682027656</v>
      </c>
      <c r="AA305" s="352" t="str">
        <f t="shared" si="347"/>
        <v>aku18i_Dybstrøelse, hele arealet - dybstrøelse</v>
      </c>
    </row>
    <row r="306" spans="3:27" x14ac:dyDescent="0.25">
      <c r="C306" s="311" t="str">
        <f t="shared" si="335"/>
        <v>Dybstrøelse + kort ædeplads med fast gulv</v>
      </c>
      <c r="D306" s="311" t="str">
        <f t="shared" si="335"/>
        <v>dybstrøelse</v>
      </c>
      <c r="E306" s="311">
        <f t="shared" si="335"/>
        <v>50.4</v>
      </c>
      <c r="F306" s="311">
        <f t="shared" si="335"/>
        <v>0</v>
      </c>
      <c r="G306" s="311">
        <f t="shared" si="335"/>
        <v>5</v>
      </c>
      <c r="H306" s="311">
        <f t="shared" si="335"/>
        <v>7.7562500000000005</v>
      </c>
      <c r="I306" s="311">
        <f t="shared" si="335"/>
        <v>1473.6874999999998</v>
      </c>
      <c r="J306" s="311">
        <f t="shared" si="335"/>
        <v>0</v>
      </c>
      <c r="K306" s="311">
        <f t="shared" si="335"/>
        <v>363.52000000000004</v>
      </c>
      <c r="O306" s="662"/>
      <c r="P306" s="663"/>
      <c r="Q306" s="352" t="str">
        <f t="shared" si="339"/>
        <v>Dybstrøelse + kort ædeplads med fast gulv</v>
      </c>
      <c r="R306" s="352" t="str">
        <f t="shared" si="340"/>
        <v>dybstrøelse</v>
      </c>
      <c r="S306" s="561">
        <f t="shared" si="341"/>
        <v>40.10643870967742</v>
      </c>
      <c r="T306" s="561">
        <f t="shared" si="342"/>
        <v>0</v>
      </c>
      <c r="U306" s="352">
        <f t="shared" si="343"/>
        <v>5</v>
      </c>
      <c r="V306" s="352">
        <f t="shared" si="344"/>
        <v>7.7562500000000005</v>
      </c>
      <c r="W306" s="352">
        <f t="shared" si="345"/>
        <v>1473.6874999999998</v>
      </c>
      <c r="X306" s="142"/>
      <c r="Y306" s="561">
        <f t="shared" si="346"/>
        <v>289.27564682027656</v>
      </c>
      <c r="AA306" s="352" t="str">
        <f t="shared" si="347"/>
        <v>aku18i_Dybstrøelse + kort ædeplads med fast gulv - dybstrøelse</v>
      </c>
    </row>
    <row r="307" spans="3:27" x14ac:dyDescent="0.25">
      <c r="C307" s="311" t="str">
        <f t="shared" si="335"/>
        <v>Dybstrøelse, lang ædeplads med fast gulv</v>
      </c>
      <c r="D307" s="311" t="str">
        <f t="shared" si="335"/>
        <v>Dybstrøelse</v>
      </c>
      <c r="E307" s="311">
        <f t="shared" si="335"/>
        <v>30.24</v>
      </c>
      <c r="F307" s="311">
        <f t="shared" si="335"/>
        <v>0</v>
      </c>
      <c r="G307" s="311">
        <f t="shared" si="335"/>
        <v>5</v>
      </c>
      <c r="H307" s="311">
        <f t="shared" si="335"/>
        <v>7.7562500000000005</v>
      </c>
      <c r="I307" s="311">
        <f t="shared" si="335"/>
        <v>1473.6874999999998</v>
      </c>
      <c r="J307" s="311">
        <f t="shared" si="335"/>
        <v>0</v>
      </c>
      <c r="K307" s="311">
        <f t="shared" si="335"/>
        <v>218.11200000000002</v>
      </c>
      <c r="O307" s="662"/>
      <c r="P307" s="663"/>
      <c r="Q307" s="352" t="str">
        <f t="shared" si="339"/>
        <v>Dybstrøelse, lang ædeplads med fast gulv</v>
      </c>
      <c r="R307" s="352" t="str">
        <f t="shared" si="340"/>
        <v>Dybstrøelse</v>
      </c>
      <c r="S307" s="561">
        <f t="shared" si="341"/>
        <v>24.06386322580645</v>
      </c>
      <c r="T307" s="561">
        <f t="shared" si="342"/>
        <v>0</v>
      </c>
      <c r="U307" s="352">
        <f t="shared" si="343"/>
        <v>5</v>
      </c>
      <c r="V307" s="352">
        <f t="shared" si="344"/>
        <v>7.7562500000000005</v>
      </c>
      <c r="W307" s="352">
        <f t="shared" si="345"/>
        <v>1473.6874999999998</v>
      </c>
      <c r="X307" s="142"/>
      <c r="Y307" s="561">
        <f t="shared" si="346"/>
        <v>173.56538809216593</v>
      </c>
      <c r="AA307" s="352" t="str">
        <f t="shared" si="347"/>
        <v>aku18i_Dybstrøelse, lang ædeplads med fast gulv - Dybstrøelse</v>
      </c>
    </row>
    <row r="308" spans="3:27" x14ac:dyDescent="0.25">
      <c r="C308" s="311" t="str">
        <f t="shared" si="335"/>
        <v>Dybstrøelse, lang ædeplads med fast gulv</v>
      </c>
      <c r="D308" s="311" t="str">
        <f t="shared" si="335"/>
        <v>gylle</v>
      </c>
      <c r="E308" s="311">
        <f t="shared" si="335"/>
        <v>20.16</v>
      </c>
      <c r="F308" s="311">
        <f t="shared" si="335"/>
        <v>13.56</v>
      </c>
      <c r="G308" s="311">
        <f t="shared" si="335"/>
        <v>0</v>
      </c>
      <c r="H308" s="311">
        <f t="shared" si="335"/>
        <v>0</v>
      </c>
      <c r="I308" s="311">
        <f t="shared" si="335"/>
        <v>0</v>
      </c>
      <c r="J308" s="311">
        <f t="shared" si="335"/>
        <v>0</v>
      </c>
      <c r="K308" s="311">
        <f t="shared" si="335"/>
        <v>145.40800000000002</v>
      </c>
      <c r="O308" s="662"/>
      <c r="P308" s="663"/>
      <c r="Q308" s="352" t="str">
        <f t="shared" si="339"/>
        <v>Dybstrøelse, lang ædeplads med fast gulv</v>
      </c>
      <c r="R308" s="352" t="str">
        <f t="shared" si="340"/>
        <v>gylle</v>
      </c>
      <c r="S308" s="561">
        <f t="shared" si="341"/>
        <v>16.042575483870969</v>
      </c>
      <c r="T308" s="561">
        <f t="shared" si="342"/>
        <v>10.790541843317973</v>
      </c>
      <c r="U308" s="352">
        <f t="shared" si="343"/>
        <v>0</v>
      </c>
      <c r="V308" s="352">
        <f t="shared" si="344"/>
        <v>0</v>
      </c>
      <c r="W308" s="352">
        <f t="shared" si="345"/>
        <v>0</v>
      </c>
      <c r="X308" s="142"/>
      <c r="Y308" s="561">
        <f t="shared" si="346"/>
        <v>115.71025872811062</v>
      </c>
      <c r="AA308" s="352" t="str">
        <f t="shared" si="347"/>
        <v>aku18i_Dybstrøelse, lang ædeplads med fast gulv - gylle</v>
      </c>
    </row>
    <row r="309" spans="3:27" x14ac:dyDescent="0.25">
      <c r="C309" s="311" t="str">
        <f t="shared" si="335"/>
        <v>Dybstrøelse, lang ædeplads med spalter (kanal, linespil)</v>
      </c>
      <c r="D309" s="311" t="str">
        <f t="shared" si="335"/>
        <v>Dybstrøelse</v>
      </c>
      <c r="E309" s="311">
        <f t="shared" si="335"/>
        <v>30.24</v>
      </c>
      <c r="F309" s="311">
        <f t="shared" si="335"/>
        <v>0</v>
      </c>
      <c r="G309" s="311">
        <f t="shared" si="335"/>
        <v>5</v>
      </c>
      <c r="H309" s="311">
        <f t="shared" si="335"/>
        <v>7.7562500000000005</v>
      </c>
      <c r="I309" s="311">
        <f t="shared" si="335"/>
        <v>1473.6874999999998</v>
      </c>
      <c r="J309" s="311">
        <f t="shared" si="335"/>
        <v>0</v>
      </c>
      <c r="K309" s="311">
        <f t="shared" si="335"/>
        <v>218.11200000000002</v>
      </c>
      <c r="O309" s="662"/>
      <c r="P309" s="663"/>
      <c r="Q309" s="352" t="str">
        <f t="shared" si="339"/>
        <v>Dybstrøelse, lang ædeplads med spalter (kanal, linespil)</v>
      </c>
      <c r="R309" s="352" t="str">
        <f t="shared" si="340"/>
        <v>Dybstrøelse</v>
      </c>
      <c r="S309" s="561">
        <f t="shared" si="341"/>
        <v>24.06386322580645</v>
      </c>
      <c r="T309" s="561">
        <f t="shared" si="342"/>
        <v>0</v>
      </c>
      <c r="U309" s="352">
        <f t="shared" si="343"/>
        <v>5</v>
      </c>
      <c r="V309" s="352">
        <f t="shared" si="344"/>
        <v>7.7562500000000005</v>
      </c>
      <c r="W309" s="352">
        <f t="shared" si="345"/>
        <v>1473.6874999999998</v>
      </c>
      <c r="X309" s="142"/>
      <c r="Y309" s="561">
        <f t="shared" si="346"/>
        <v>173.56538809216593</v>
      </c>
      <c r="AA309" s="352" t="str">
        <f t="shared" si="347"/>
        <v>aku18i_Dybstrøelse, lang ædeplads med spalter (kanal, linespil) - Dybstrøelse</v>
      </c>
    </row>
    <row r="310" spans="3:27" x14ac:dyDescent="0.25">
      <c r="C310" s="311" t="str">
        <f t="shared" si="335"/>
        <v>Dybstrøelse, lang ædeplads med spalter (kanal, linespil)</v>
      </c>
      <c r="D310" s="311" t="str">
        <f t="shared" si="335"/>
        <v>gylle</v>
      </c>
      <c r="E310" s="311">
        <f t="shared" si="335"/>
        <v>20.16</v>
      </c>
      <c r="F310" s="311">
        <f t="shared" si="335"/>
        <v>13.56</v>
      </c>
      <c r="G310" s="311">
        <f t="shared" si="335"/>
        <v>0</v>
      </c>
      <c r="H310" s="311">
        <f t="shared" si="335"/>
        <v>0</v>
      </c>
      <c r="I310" s="311">
        <f t="shared" si="335"/>
        <v>0</v>
      </c>
      <c r="J310" s="311">
        <f t="shared" si="335"/>
        <v>0</v>
      </c>
      <c r="K310" s="311">
        <f t="shared" si="335"/>
        <v>145.40800000000002</v>
      </c>
      <c r="O310" s="662"/>
      <c r="P310" s="663"/>
      <c r="Q310" s="352" t="str">
        <f t="shared" si="339"/>
        <v>Dybstrøelse, lang ædeplads med spalter (kanal, linespil)</v>
      </c>
      <c r="R310" s="352" t="str">
        <f t="shared" si="340"/>
        <v>gylle</v>
      </c>
      <c r="S310" s="561">
        <f t="shared" si="341"/>
        <v>16.042575483870969</v>
      </c>
      <c r="T310" s="561">
        <f t="shared" si="342"/>
        <v>10.790541843317973</v>
      </c>
      <c r="U310" s="352">
        <f t="shared" si="343"/>
        <v>0</v>
      </c>
      <c r="V310" s="352">
        <f t="shared" si="344"/>
        <v>0</v>
      </c>
      <c r="W310" s="352">
        <f t="shared" si="345"/>
        <v>0</v>
      </c>
      <c r="X310" s="142"/>
      <c r="Y310" s="561">
        <f t="shared" si="346"/>
        <v>115.71025872811062</v>
      </c>
      <c r="AA310" s="352" t="str">
        <f t="shared" si="347"/>
        <v>aku18i_Dybstrøelse, lang ædeplads med spalter (kanal, linespil) - gylle</v>
      </c>
    </row>
    <row r="311" spans="3:27" x14ac:dyDescent="0.25">
      <c r="C311" s="311" t="str">
        <f t="shared" si="335"/>
        <v>Dybstrøelse, lang ædeplads med spalter (kanal, bagskyl eller ringkanal)</v>
      </c>
      <c r="D311" s="311" t="str">
        <f t="shared" si="335"/>
        <v>Dybstrøelse</v>
      </c>
      <c r="E311" s="311">
        <f t="shared" si="335"/>
        <v>30.24</v>
      </c>
      <c r="F311" s="311">
        <f t="shared" si="335"/>
        <v>0</v>
      </c>
      <c r="G311" s="311">
        <f t="shared" si="335"/>
        <v>5</v>
      </c>
      <c r="H311" s="311">
        <f t="shared" si="335"/>
        <v>7.7562500000000005</v>
      </c>
      <c r="I311" s="311">
        <f t="shared" si="335"/>
        <v>1473.6874999999998</v>
      </c>
      <c r="J311" s="311">
        <f t="shared" si="335"/>
        <v>0</v>
      </c>
      <c r="K311" s="311">
        <f t="shared" si="335"/>
        <v>218.11200000000002</v>
      </c>
      <c r="O311" s="662"/>
      <c r="P311" s="663"/>
      <c r="Q311" s="352" t="str">
        <f t="shared" si="339"/>
        <v>Dybstrøelse, lang ædeplads med spalter (kanal, bagskyl eller ringkanal)</v>
      </c>
      <c r="R311" s="352" t="str">
        <f t="shared" si="340"/>
        <v>Dybstrøelse</v>
      </c>
      <c r="S311" s="561">
        <f t="shared" si="341"/>
        <v>24.06386322580645</v>
      </c>
      <c r="T311" s="561">
        <f t="shared" si="342"/>
        <v>0</v>
      </c>
      <c r="U311" s="352">
        <f t="shared" si="343"/>
        <v>5</v>
      </c>
      <c r="V311" s="352">
        <f t="shared" si="344"/>
        <v>7.7562500000000005</v>
      </c>
      <c r="W311" s="352">
        <f t="shared" si="345"/>
        <v>1473.6874999999998</v>
      </c>
      <c r="X311" s="142"/>
      <c r="Y311" s="561">
        <f t="shared" si="346"/>
        <v>173.56538809216593</v>
      </c>
      <c r="AA311" s="352" t="str">
        <f t="shared" si="347"/>
        <v>aku18i_Dybstrøelse, lang ædeplads med spalter (kanal, bagskyl eller ringkanal) - Dybstrøelse</v>
      </c>
    </row>
    <row r="312" spans="3:27" x14ac:dyDescent="0.25">
      <c r="C312" s="311" t="str">
        <f t="shared" si="335"/>
        <v>Dybstrøelse, lang ædeplads med spalter (kanal, bagskyl eller ringkanal)</v>
      </c>
      <c r="D312" s="311" t="str">
        <f t="shared" si="335"/>
        <v>gylle</v>
      </c>
      <c r="E312" s="311">
        <f t="shared" si="335"/>
        <v>20.16</v>
      </c>
      <c r="F312" s="311">
        <f t="shared" si="335"/>
        <v>13.56</v>
      </c>
      <c r="G312" s="311">
        <f t="shared" si="335"/>
        <v>0</v>
      </c>
      <c r="H312" s="311">
        <f t="shared" si="335"/>
        <v>0</v>
      </c>
      <c r="I312" s="311">
        <f t="shared" si="335"/>
        <v>0</v>
      </c>
      <c r="J312" s="311">
        <f t="shared" si="335"/>
        <v>0</v>
      </c>
      <c r="K312" s="311">
        <f t="shared" si="335"/>
        <v>145.40800000000002</v>
      </c>
      <c r="O312" s="662"/>
      <c r="P312" s="663"/>
      <c r="Q312" s="352" t="str">
        <f t="shared" si="339"/>
        <v>Dybstrøelse, lang ædeplads med spalter (kanal, bagskyl eller ringkanal)</v>
      </c>
      <c r="R312" s="352" t="str">
        <f t="shared" si="340"/>
        <v>gylle</v>
      </c>
      <c r="S312" s="561">
        <f t="shared" si="341"/>
        <v>16.042575483870969</v>
      </c>
      <c r="T312" s="561">
        <f t="shared" si="342"/>
        <v>10.790541843317973</v>
      </c>
      <c r="U312" s="352">
        <f t="shared" si="343"/>
        <v>0</v>
      </c>
      <c r="V312" s="352">
        <f t="shared" si="344"/>
        <v>0</v>
      </c>
      <c r="W312" s="352">
        <f t="shared" si="345"/>
        <v>0</v>
      </c>
      <c r="X312" s="142"/>
      <c r="Y312" s="561">
        <f t="shared" si="346"/>
        <v>115.71025872811062</v>
      </c>
      <c r="AA312" s="352" t="str">
        <f t="shared" si="347"/>
        <v>aku18i_Dybstrøelse, lang ædeplads med spalter (kanal, bagskyl eller ringkanal) - gylle</v>
      </c>
    </row>
    <row r="313" spans="3:27" x14ac:dyDescent="0.25">
      <c r="C313" s="311" t="str">
        <f t="shared" si="335"/>
        <v>Spaltegulvbokse</v>
      </c>
      <c r="D313" s="311" t="str">
        <f t="shared" si="335"/>
        <v>gylle</v>
      </c>
      <c r="E313" s="311">
        <f t="shared" si="335"/>
        <v>50.4</v>
      </c>
      <c r="F313" s="311">
        <f t="shared" si="335"/>
        <v>33.9</v>
      </c>
      <c r="G313" s="311">
        <f t="shared" si="335"/>
        <v>0</v>
      </c>
      <c r="H313" s="311">
        <f t="shared" si="335"/>
        <v>0</v>
      </c>
      <c r="I313" s="311">
        <f t="shared" si="335"/>
        <v>0</v>
      </c>
      <c r="J313" s="311">
        <f t="shared" si="335"/>
        <v>0</v>
      </c>
      <c r="K313" s="311">
        <f t="shared" si="335"/>
        <v>363.52000000000004</v>
      </c>
      <c r="O313" s="662"/>
      <c r="P313" s="663"/>
      <c r="Q313" s="352" t="str">
        <f t="shared" si="339"/>
        <v>Spaltegulvbokse</v>
      </c>
      <c r="R313" s="352" t="str">
        <f t="shared" si="340"/>
        <v>gylle</v>
      </c>
      <c r="S313" s="561">
        <f t="shared" si="341"/>
        <v>40.10643870967742</v>
      </c>
      <c r="T313" s="561">
        <f t="shared" si="342"/>
        <v>26.97635460829493</v>
      </c>
      <c r="U313" s="352">
        <f t="shared" si="343"/>
        <v>0</v>
      </c>
      <c r="V313" s="352">
        <f t="shared" si="344"/>
        <v>0</v>
      </c>
      <c r="W313" s="352">
        <f t="shared" si="345"/>
        <v>0</v>
      </c>
      <c r="X313" s="142"/>
      <c r="Y313" s="561">
        <f t="shared" si="346"/>
        <v>289.27564682027656</v>
      </c>
      <c r="AA313" s="352" t="str">
        <f t="shared" si="347"/>
        <v>aku18i_Spaltegulvbokse - gylle</v>
      </c>
    </row>
    <row r="314" spans="3:27" x14ac:dyDescent="0.25">
      <c r="C314" s="311"/>
      <c r="D314" s="311"/>
      <c r="E314" s="311"/>
      <c r="F314" s="311"/>
      <c r="G314" s="311"/>
      <c r="H314" s="311"/>
      <c r="I314" s="311"/>
      <c r="J314" s="311"/>
      <c r="K314" s="311"/>
      <c r="O314" s="662"/>
      <c r="P314" s="663"/>
      <c r="Q314" s="352"/>
      <c r="R314" s="352"/>
      <c r="S314" s="561"/>
      <c r="T314" s="561"/>
      <c r="U314" s="352"/>
      <c r="V314" s="352"/>
      <c r="W314" s="352"/>
      <c r="X314" s="142"/>
      <c r="Y314" s="561"/>
      <c r="AA314" s="352"/>
    </row>
    <row r="315" spans="3:27" x14ac:dyDescent="0.25">
      <c r="C315" s="311"/>
      <c r="D315" s="311"/>
      <c r="E315" s="311"/>
      <c r="F315" s="311"/>
      <c r="G315" s="311"/>
      <c r="H315" s="311"/>
      <c r="I315" s="311"/>
      <c r="J315" s="311"/>
      <c r="K315" s="311"/>
      <c r="N315" s="134" t="str">
        <f>C296</f>
        <v>Årsopdræt 6 mdr. til kælvning (27 mdr) (kvier og stude), tung race</v>
      </c>
      <c r="O315" s="662"/>
      <c r="P315" s="663"/>
      <c r="Q315" s="353" t="s">
        <v>470</v>
      </c>
      <c r="R315" s="354"/>
      <c r="S315" s="561">
        <f>E297*$P$316</f>
        <v>51.111987096774186</v>
      </c>
      <c r="T315" s="561">
        <f>F297*$P$316</f>
        <v>34.378896082949304</v>
      </c>
      <c r="U315" s="352"/>
      <c r="V315" s="352"/>
      <c r="W315" s="352"/>
      <c r="X315" s="142"/>
      <c r="Y315" s="561">
        <f>K297*$P$316</f>
        <v>368.65534820276497</v>
      </c>
      <c r="AA315" s="352"/>
    </row>
    <row r="316" spans="3:27" x14ac:dyDescent="0.25">
      <c r="C316" s="311"/>
      <c r="D316" s="311"/>
      <c r="E316" s="311"/>
      <c r="F316" s="311"/>
      <c r="G316" s="311"/>
      <c r="H316" s="311"/>
      <c r="I316" s="311"/>
      <c r="J316" s="311"/>
      <c r="K316" s="311"/>
      <c r="O316" s="662" t="s">
        <v>311</v>
      </c>
      <c r="P316" s="663">
        <f>(((6 + 27.9) * 0.0729) + 1.93) / 4.34</f>
        <v>1.014126728110599</v>
      </c>
      <c r="Q316" s="352" t="str">
        <f>C298</f>
        <v>Bindestald med grebning</v>
      </c>
      <c r="R316" s="352" t="str">
        <f>D298</f>
        <v>fast gødning</v>
      </c>
      <c r="S316" s="561">
        <f>E298*$P$316</f>
        <v>30.667192258064514</v>
      </c>
      <c r="T316" s="561">
        <f>F298*$P$316</f>
        <v>20.627337649769583</v>
      </c>
      <c r="U316" s="352">
        <f t="shared" ref="U316:W316" si="348">G298</f>
        <v>0.75</v>
      </c>
      <c r="V316" s="352">
        <f t="shared" si="348"/>
        <v>1.1634374999999999</v>
      </c>
      <c r="W316" s="352">
        <f t="shared" si="348"/>
        <v>221.05312499999999</v>
      </c>
      <c r="X316" s="142"/>
      <c r="Y316" s="561">
        <f>K298*$P$316</f>
        <v>221.19320892165899</v>
      </c>
      <c r="AA316" s="352" t="str">
        <f>$O$316&amp;"_"&amp;Q316&amp;" - "&amp;R316</f>
        <v>ako18i_Bindestald med grebning - fast gødning</v>
      </c>
    </row>
    <row r="317" spans="3:27" x14ac:dyDescent="0.25">
      <c r="C317" s="311"/>
      <c r="D317" s="311"/>
      <c r="E317" s="311"/>
      <c r="F317" s="311"/>
      <c r="G317" s="311"/>
      <c r="H317" s="311"/>
      <c r="I317" s="311"/>
      <c r="J317" s="311"/>
      <c r="K317" s="311"/>
      <c r="O317" s="664" t="s">
        <v>487</v>
      </c>
      <c r="P317" s="663"/>
      <c r="Q317" s="352" t="str">
        <f t="shared" ref="Q317:R317" si="349">C299</f>
        <v>Bindestald med grebning</v>
      </c>
      <c r="R317" s="352" t="str">
        <f t="shared" si="349"/>
        <v>ajle</v>
      </c>
      <c r="S317" s="561">
        <f t="shared" ref="S317:T317" si="350">E299*$P$316</f>
        <v>20.444794838709676</v>
      </c>
      <c r="T317" s="561">
        <f t="shared" si="350"/>
        <v>13.751558433179722</v>
      </c>
      <c r="U317" s="352">
        <f t="shared" ref="U317:U331" si="351">G299</f>
        <v>0</v>
      </c>
      <c r="V317" s="352">
        <f t="shared" ref="V317:V331" si="352">H299</f>
        <v>0</v>
      </c>
      <c r="W317" s="352">
        <f t="shared" ref="W317:W331" si="353">I299</f>
        <v>0</v>
      </c>
      <c r="X317" s="142"/>
      <c r="Y317" s="561">
        <f t="shared" ref="Y317:Y331" si="354">K299*$P$316</f>
        <v>147.462139281106</v>
      </c>
      <c r="AA317" s="352" t="str">
        <f t="shared" ref="AA317:AA331" si="355">$O$316&amp;"_"&amp;Q317&amp;" - "&amp;R317</f>
        <v>ako18i_Bindestald med grebning - ajle</v>
      </c>
    </row>
    <row r="318" spans="3:27" x14ac:dyDescent="0.25">
      <c r="C318" s="311"/>
      <c r="D318" s="311"/>
      <c r="E318" s="311"/>
      <c r="F318" s="311"/>
      <c r="G318" s="311"/>
      <c r="H318" s="311"/>
      <c r="I318" s="311"/>
      <c r="J318" s="311"/>
      <c r="K318" s="311"/>
      <c r="O318" s="662"/>
      <c r="P318" s="663"/>
      <c r="Q318" s="352" t="str">
        <f t="shared" ref="Q318:R318" si="356">C300</f>
        <v>Bindestald med riste</v>
      </c>
      <c r="R318" s="352" t="str">
        <f t="shared" si="356"/>
        <v>gylle</v>
      </c>
      <c r="S318" s="561">
        <f t="shared" ref="S318:T318" si="357">E300*$P$316</f>
        <v>51.111987096774186</v>
      </c>
      <c r="T318" s="561">
        <f t="shared" si="357"/>
        <v>34.378896082949304</v>
      </c>
      <c r="U318" s="352">
        <f t="shared" si="351"/>
        <v>0.75</v>
      </c>
      <c r="V318" s="352">
        <f t="shared" si="352"/>
        <v>1.1634374999999999</v>
      </c>
      <c r="W318" s="352">
        <f t="shared" si="353"/>
        <v>221.05312499999999</v>
      </c>
      <c r="X318" s="142"/>
      <c r="Y318" s="561">
        <f t="shared" si="354"/>
        <v>368.65534820276497</v>
      </c>
      <c r="AA318" s="352" t="str">
        <f t="shared" si="355"/>
        <v>ako18i_Bindestald med riste - gylle</v>
      </c>
    </row>
    <row r="319" spans="3:27" x14ac:dyDescent="0.25">
      <c r="C319" s="311"/>
      <c r="D319" s="311"/>
      <c r="E319" s="311"/>
      <c r="F319" s="311"/>
      <c r="G319" s="311"/>
      <c r="H319" s="311"/>
      <c r="I319" s="311"/>
      <c r="J319" s="311"/>
      <c r="K319" s="311"/>
      <c r="O319" s="662"/>
      <c r="P319" s="663"/>
      <c r="Q319" s="352" t="str">
        <f t="shared" ref="Q319:R319" si="358">C301</f>
        <v>Sengestald med fast gulv</v>
      </c>
      <c r="R319" s="352" t="str">
        <f t="shared" si="358"/>
        <v>gylle</v>
      </c>
      <c r="S319" s="561">
        <f t="shared" ref="S319:T319" si="359">E301*$P$316</f>
        <v>51.111987096774186</v>
      </c>
      <c r="T319" s="561">
        <f t="shared" si="359"/>
        <v>34.378896082949304</v>
      </c>
      <c r="U319" s="352">
        <f t="shared" si="351"/>
        <v>0.3</v>
      </c>
      <c r="V319" s="352">
        <f t="shared" si="352"/>
        <v>0.46537500000000004</v>
      </c>
      <c r="W319" s="352">
        <f t="shared" si="353"/>
        <v>88.421250000000001</v>
      </c>
      <c r="X319" s="142"/>
      <c r="Y319" s="561">
        <f t="shared" si="354"/>
        <v>368.65534820276497</v>
      </c>
      <c r="AA319" s="352" t="str">
        <f t="shared" si="355"/>
        <v>ako18i_Sengestald med fast gulv - gylle</v>
      </c>
    </row>
    <row r="320" spans="3:27" x14ac:dyDescent="0.25">
      <c r="C320" s="311"/>
      <c r="D320" s="311"/>
      <c r="E320" s="311"/>
      <c r="F320" s="311"/>
      <c r="G320" s="311"/>
      <c r="H320" s="311"/>
      <c r="I320" s="311"/>
      <c r="J320" s="311"/>
      <c r="K320" s="311"/>
      <c r="O320" s="662"/>
      <c r="P320" s="663"/>
      <c r="Q320" s="352" t="str">
        <f t="shared" ref="Q320:R320" si="360">C302</f>
        <v>Sengestald med spaltegulv (kanal, line- spil)</v>
      </c>
      <c r="R320" s="352" t="str">
        <f t="shared" si="360"/>
        <v>gylle</v>
      </c>
      <c r="S320" s="561">
        <f t="shared" ref="S320:T320" si="361">E302*$P$316</f>
        <v>51.111987096774186</v>
      </c>
      <c r="T320" s="561">
        <f t="shared" si="361"/>
        <v>34.378896082949304</v>
      </c>
      <c r="U320" s="352">
        <f t="shared" si="351"/>
        <v>0.3</v>
      </c>
      <c r="V320" s="352">
        <f t="shared" si="352"/>
        <v>0.46537500000000004</v>
      </c>
      <c r="W320" s="352">
        <f t="shared" si="353"/>
        <v>88.421250000000001</v>
      </c>
      <c r="X320" s="142"/>
      <c r="Y320" s="561">
        <f t="shared" si="354"/>
        <v>368.65534820276497</v>
      </c>
      <c r="AA320" s="352" t="str">
        <f t="shared" si="355"/>
        <v>ako18i_Sengestald med spaltegulv (kanal, line- spil) - gylle</v>
      </c>
    </row>
    <row r="321" spans="3:27" x14ac:dyDescent="0.25">
      <c r="C321" s="311"/>
      <c r="D321" s="311"/>
      <c r="E321" s="311"/>
      <c r="F321" s="311"/>
      <c r="G321" s="311"/>
      <c r="H321" s="311"/>
      <c r="I321" s="311"/>
      <c r="J321" s="311"/>
      <c r="K321" s="311"/>
      <c r="O321" s="662"/>
      <c r="P321" s="663"/>
      <c r="Q321" s="352" t="str">
        <f t="shared" ref="Q321:R321" si="362">C303</f>
        <v>Sengestald med spaltegulv (kanal, bagskyl eller ringkanal)</v>
      </c>
      <c r="R321" s="352" t="str">
        <f t="shared" si="362"/>
        <v>gylle</v>
      </c>
      <c r="S321" s="561">
        <f t="shared" ref="S321:T321" si="363">E303*$P$316</f>
        <v>51.111987096774186</v>
      </c>
      <c r="T321" s="561">
        <f t="shared" si="363"/>
        <v>34.378896082949304</v>
      </c>
      <c r="U321" s="352">
        <f t="shared" si="351"/>
        <v>0.3</v>
      </c>
      <c r="V321" s="352">
        <f t="shared" si="352"/>
        <v>0.46537500000000004</v>
      </c>
      <c r="W321" s="352">
        <f t="shared" si="353"/>
        <v>88.421250000000001</v>
      </c>
      <c r="X321" s="142"/>
      <c r="Y321" s="561">
        <f t="shared" si="354"/>
        <v>368.65534820276497</v>
      </c>
      <c r="AA321" s="352" t="str">
        <f t="shared" si="355"/>
        <v>ako18i_Sengestald med spaltegulv (kanal, bagskyl eller ringkanal) - gylle</v>
      </c>
    </row>
    <row r="322" spans="3:27" x14ac:dyDescent="0.25">
      <c r="C322" s="311"/>
      <c r="D322" s="311"/>
      <c r="E322" s="311"/>
      <c r="F322" s="311"/>
      <c r="G322" s="311"/>
      <c r="H322" s="311"/>
      <c r="I322" s="311"/>
      <c r="J322" s="311"/>
      <c r="K322" s="311"/>
      <c r="O322" s="662"/>
      <c r="P322" s="663"/>
      <c r="Q322" s="352" t="str">
        <f t="shared" ref="Q322:R322" si="364">C304</f>
        <v>Sengestald, fast drænet gulv med skraber og ajleafløb *)</v>
      </c>
      <c r="R322" s="352" t="str">
        <f t="shared" si="364"/>
        <v>gylle</v>
      </c>
      <c r="S322" s="561">
        <f t="shared" ref="S322:T322" si="365">E304*$P$316</f>
        <v>51.111987096774186</v>
      </c>
      <c r="T322" s="561">
        <f t="shared" si="365"/>
        <v>34.378896082949304</v>
      </c>
      <c r="U322" s="352">
        <f t="shared" si="351"/>
        <v>0.3</v>
      </c>
      <c r="V322" s="352">
        <f t="shared" si="352"/>
        <v>0.46537500000000004</v>
      </c>
      <c r="W322" s="352">
        <f t="shared" si="353"/>
        <v>88.421250000000001</v>
      </c>
      <c r="X322" s="142"/>
      <c r="Y322" s="561">
        <f t="shared" si="354"/>
        <v>368.65534820276497</v>
      </c>
      <c r="AA322" s="352" t="str">
        <f t="shared" si="355"/>
        <v>ako18i_Sengestald, fast drænet gulv med skraber og ajleafløb *) - gylle</v>
      </c>
    </row>
    <row r="323" spans="3:27" x14ac:dyDescent="0.25">
      <c r="C323" s="311"/>
      <c r="D323" s="311"/>
      <c r="E323" s="311"/>
      <c r="F323" s="311"/>
      <c r="G323" s="311"/>
      <c r="H323" s="311"/>
      <c r="I323" s="311"/>
      <c r="J323" s="311"/>
      <c r="K323" s="311"/>
      <c r="O323" s="662"/>
      <c r="P323" s="663"/>
      <c r="Q323" s="352" t="str">
        <f t="shared" ref="Q323:R323" si="366">C305</f>
        <v>Dybstrøelse, hele arealet</v>
      </c>
      <c r="R323" s="352" t="str">
        <f t="shared" si="366"/>
        <v>dybstrøelse</v>
      </c>
      <c r="S323" s="561">
        <f t="shared" ref="S323:T323" si="367">E305*$P$316</f>
        <v>51.111987096774186</v>
      </c>
      <c r="T323" s="561">
        <f t="shared" si="367"/>
        <v>0</v>
      </c>
      <c r="U323" s="352">
        <f t="shared" si="351"/>
        <v>6</v>
      </c>
      <c r="V323" s="352">
        <f t="shared" si="352"/>
        <v>9.3074999999999992</v>
      </c>
      <c r="W323" s="352">
        <f t="shared" si="353"/>
        <v>1768.425</v>
      </c>
      <c r="X323" s="142"/>
      <c r="Y323" s="561">
        <f t="shared" si="354"/>
        <v>368.65534820276497</v>
      </c>
      <c r="AA323" s="352" t="str">
        <f t="shared" si="355"/>
        <v>ako18i_Dybstrøelse, hele arealet - dybstrøelse</v>
      </c>
    </row>
    <row r="324" spans="3:27" x14ac:dyDescent="0.25">
      <c r="C324" s="311"/>
      <c r="D324" s="311"/>
      <c r="E324" s="311"/>
      <c r="F324" s="311"/>
      <c r="G324" s="311"/>
      <c r="H324" s="311"/>
      <c r="I324" s="311"/>
      <c r="J324" s="311"/>
      <c r="K324" s="311"/>
      <c r="O324" s="662"/>
      <c r="P324" s="663"/>
      <c r="Q324" s="352" t="str">
        <f t="shared" ref="Q324:R324" si="368">C306</f>
        <v>Dybstrøelse + kort ædeplads med fast gulv</v>
      </c>
      <c r="R324" s="352" t="str">
        <f t="shared" si="368"/>
        <v>dybstrøelse</v>
      </c>
      <c r="S324" s="561">
        <f t="shared" ref="S324:T324" si="369">E306*$P$316</f>
        <v>51.111987096774186</v>
      </c>
      <c r="T324" s="561">
        <f t="shared" si="369"/>
        <v>0</v>
      </c>
      <c r="U324" s="352">
        <f t="shared" si="351"/>
        <v>5</v>
      </c>
      <c r="V324" s="352">
        <f t="shared" si="352"/>
        <v>7.7562500000000005</v>
      </c>
      <c r="W324" s="352">
        <f t="shared" si="353"/>
        <v>1473.6874999999998</v>
      </c>
      <c r="X324" s="142"/>
      <c r="Y324" s="561">
        <f t="shared" si="354"/>
        <v>368.65534820276497</v>
      </c>
      <c r="AA324" s="352" t="str">
        <f t="shared" si="355"/>
        <v>ako18i_Dybstrøelse + kort ædeplads med fast gulv - dybstrøelse</v>
      </c>
    </row>
    <row r="325" spans="3:27" x14ac:dyDescent="0.25">
      <c r="C325" s="311"/>
      <c r="D325" s="311"/>
      <c r="E325" s="311"/>
      <c r="F325" s="311"/>
      <c r="G325" s="311"/>
      <c r="H325" s="311"/>
      <c r="I325" s="311"/>
      <c r="J325" s="311"/>
      <c r="K325" s="311"/>
      <c r="O325" s="662"/>
      <c r="P325" s="663"/>
      <c r="Q325" s="352" t="str">
        <f t="shared" ref="Q325:R325" si="370">C307</f>
        <v>Dybstrøelse, lang ædeplads med fast gulv</v>
      </c>
      <c r="R325" s="352" t="str">
        <f t="shared" si="370"/>
        <v>Dybstrøelse</v>
      </c>
      <c r="S325" s="561">
        <f t="shared" ref="S325:T325" si="371">E307*$P$316</f>
        <v>30.667192258064514</v>
      </c>
      <c r="T325" s="561">
        <f t="shared" si="371"/>
        <v>0</v>
      </c>
      <c r="U325" s="352">
        <f t="shared" si="351"/>
        <v>5</v>
      </c>
      <c r="V325" s="352">
        <f t="shared" si="352"/>
        <v>7.7562500000000005</v>
      </c>
      <c r="W325" s="352">
        <f t="shared" si="353"/>
        <v>1473.6874999999998</v>
      </c>
      <c r="X325" s="142"/>
      <c r="Y325" s="561">
        <f t="shared" si="354"/>
        <v>221.19320892165899</v>
      </c>
      <c r="AA325" s="352" t="str">
        <f t="shared" si="355"/>
        <v>ako18i_Dybstrøelse, lang ædeplads med fast gulv - Dybstrøelse</v>
      </c>
    </row>
    <row r="326" spans="3:27" x14ac:dyDescent="0.25">
      <c r="C326" s="311"/>
      <c r="D326" s="311"/>
      <c r="E326" s="311"/>
      <c r="F326" s="311"/>
      <c r="G326" s="311"/>
      <c r="H326" s="311"/>
      <c r="I326" s="311"/>
      <c r="J326" s="311"/>
      <c r="K326" s="311"/>
      <c r="O326" s="662"/>
      <c r="P326" s="663"/>
      <c r="Q326" s="352" t="str">
        <f t="shared" ref="Q326:R326" si="372">C308</f>
        <v>Dybstrøelse, lang ædeplads med fast gulv</v>
      </c>
      <c r="R326" s="352" t="str">
        <f t="shared" si="372"/>
        <v>gylle</v>
      </c>
      <c r="S326" s="561">
        <f t="shared" ref="S326:T326" si="373">E308*$P$316</f>
        <v>20.444794838709676</v>
      </c>
      <c r="T326" s="561">
        <f t="shared" si="373"/>
        <v>13.751558433179722</v>
      </c>
      <c r="U326" s="352">
        <f t="shared" si="351"/>
        <v>0</v>
      </c>
      <c r="V326" s="352">
        <f t="shared" si="352"/>
        <v>0</v>
      </c>
      <c r="W326" s="352">
        <f t="shared" si="353"/>
        <v>0</v>
      </c>
      <c r="X326" s="142"/>
      <c r="Y326" s="561">
        <f t="shared" si="354"/>
        <v>147.462139281106</v>
      </c>
      <c r="AA326" s="352" t="str">
        <f t="shared" si="355"/>
        <v>ako18i_Dybstrøelse, lang ædeplads med fast gulv - gylle</v>
      </c>
    </row>
    <row r="327" spans="3:27" x14ac:dyDescent="0.25">
      <c r="C327" s="311"/>
      <c r="D327" s="311"/>
      <c r="E327" s="311"/>
      <c r="F327" s="311"/>
      <c r="G327" s="311"/>
      <c r="H327" s="311"/>
      <c r="I327" s="311"/>
      <c r="J327" s="311"/>
      <c r="K327" s="311"/>
      <c r="O327" s="662"/>
      <c r="P327" s="663"/>
      <c r="Q327" s="352" t="str">
        <f t="shared" ref="Q327:R327" si="374">C309</f>
        <v>Dybstrøelse, lang ædeplads med spalter (kanal, linespil)</v>
      </c>
      <c r="R327" s="352" t="str">
        <f t="shared" si="374"/>
        <v>Dybstrøelse</v>
      </c>
      <c r="S327" s="561">
        <f t="shared" ref="S327:T327" si="375">E309*$P$316</f>
        <v>30.667192258064514</v>
      </c>
      <c r="T327" s="561">
        <f t="shared" si="375"/>
        <v>0</v>
      </c>
      <c r="U327" s="352">
        <f t="shared" si="351"/>
        <v>5</v>
      </c>
      <c r="V327" s="352">
        <f t="shared" si="352"/>
        <v>7.7562500000000005</v>
      </c>
      <c r="W327" s="352">
        <f t="shared" si="353"/>
        <v>1473.6874999999998</v>
      </c>
      <c r="X327" s="142"/>
      <c r="Y327" s="561">
        <f t="shared" si="354"/>
        <v>221.19320892165899</v>
      </c>
      <c r="AA327" s="352" t="str">
        <f t="shared" si="355"/>
        <v>ako18i_Dybstrøelse, lang ædeplads med spalter (kanal, linespil) - Dybstrøelse</v>
      </c>
    </row>
    <row r="328" spans="3:27" x14ac:dyDescent="0.25">
      <c r="C328" s="311"/>
      <c r="D328" s="311"/>
      <c r="E328" s="311"/>
      <c r="F328" s="311"/>
      <c r="G328" s="311"/>
      <c r="H328" s="311"/>
      <c r="I328" s="311"/>
      <c r="J328" s="311"/>
      <c r="K328" s="311"/>
      <c r="O328" s="662"/>
      <c r="P328" s="663"/>
      <c r="Q328" s="352" t="str">
        <f t="shared" ref="Q328:R328" si="376">C310</f>
        <v>Dybstrøelse, lang ædeplads med spalter (kanal, linespil)</v>
      </c>
      <c r="R328" s="352" t="str">
        <f t="shared" si="376"/>
        <v>gylle</v>
      </c>
      <c r="S328" s="561">
        <f t="shared" ref="S328:T328" si="377">E310*$P$316</f>
        <v>20.444794838709676</v>
      </c>
      <c r="T328" s="561">
        <f t="shared" si="377"/>
        <v>13.751558433179722</v>
      </c>
      <c r="U328" s="352">
        <f t="shared" si="351"/>
        <v>0</v>
      </c>
      <c r="V328" s="352">
        <f t="shared" si="352"/>
        <v>0</v>
      </c>
      <c r="W328" s="352">
        <f t="shared" si="353"/>
        <v>0</v>
      </c>
      <c r="X328" s="142"/>
      <c r="Y328" s="561">
        <f t="shared" si="354"/>
        <v>147.462139281106</v>
      </c>
      <c r="AA328" s="352" t="str">
        <f t="shared" si="355"/>
        <v>ako18i_Dybstrøelse, lang ædeplads med spalter (kanal, linespil) - gylle</v>
      </c>
    </row>
    <row r="329" spans="3:27" x14ac:dyDescent="0.25">
      <c r="C329" s="311"/>
      <c r="D329" s="311"/>
      <c r="E329" s="311"/>
      <c r="F329" s="311"/>
      <c r="G329" s="311"/>
      <c r="H329" s="311"/>
      <c r="I329" s="311"/>
      <c r="J329" s="311"/>
      <c r="K329" s="311"/>
      <c r="O329" s="662"/>
      <c r="P329" s="663"/>
      <c r="Q329" s="352" t="str">
        <f t="shared" ref="Q329:R329" si="378">C311</f>
        <v>Dybstrøelse, lang ædeplads med spalter (kanal, bagskyl eller ringkanal)</v>
      </c>
      <c r="R329" s="352" t="str">
        <f t="shared" si="378"/>
        <v>Dybstrøelse</v>
      </c>
      <c r="S329" s="561">
        <f t="shared" ref="S329:T329" si="379">E311*$P$316</f>
        <v>30.667192258064514</v>
      </c>
      <c r="T329" s="561">
        <f t="shared" si="379"/>
        <v>0</v>
      </c>
      <c r="U329" s="352">
        <f t="shared" si="351"/>
        <v>5</v>
      </c>
      <c r="V329" s="352">
        <f t="shared" si="352"/>
        <v>7.7562500000000005</v>
      </c>
      <c r="W329" s="352">
        <f t="shared" si="353"/>
        <v>1473.6874999999998</v>
      </c>
      <c r="X329" s="142"/>
      <c r="Y329" s="561">
        <f t="shared" si="354"/>
        <v>221.19320892165899</v>
      </c>
      <c r="AA329" s="352" t="str">
        <f t="shared" si="355"/>
        <v>ako18i_Dybstrøelse, lang ædeplads med spalter (kanal, bagskyl eller ringkanal) - Dybstrøelse</v>
      </c>
    </row>
    <row r="330" spans="3:27" x14ac:dyDescent="0.25">
      <c r="C330" s="311"/>
      <c r="D330" s="311"/>
      <c r="E330" s="311"/>
      <c r="F330" s="311"/>
      <c r="G330" s="311"/>
      <c r="H330" s="311"/>
      <c r="I330" s="311"/>
      <c r="J330" s="311"/>
      <c r="K330" s="311"/>
      <c r="O330" s="662"/>
      <c r="P330" s="663"/>
      <c r="Q330" s="352" t="str">
        <f t="shared" ref="Q330:R330" si="380">C312</f>
        <v>Dybstrøelse, lang ædeplads med spalter (kanal, bagskyl eller ringkanal)</v>
      </c>
      <c r="R330" s="352" t="str">
        <f t="shared" si="380"/>
        <v>gylle</v>
      </c>
      <c r="S330" s="561">
        <f t="shared" ref="S330:T330" si="381">E312*$P$316</f>
        <v>20.444794838709676</v>
      </c>
      <c r="T330" s="561">
        <f t="shared" si="381"/>
        <v>13.751558433179722</v>
      </c>
      <c r="U330" s="352">
        <f t="shared" si="351"/>
        <v>0</v>
      </c>
      <c r="V330" s="352">
        <f t="shared" si="352"/>
        <v>0</v>
      </c>
      <c r="W330" s="352">
        <f t="shared" si="353"/>
        <v>0</v>
      </c>
      <c r="X330" s="142"/>
      <c r="Y330" s="561">
        <f t="shared" si="354"/>
        <v>147.462139281106</v>
      </c>
      <c r="AA330" s="352" t="str">
        <f t="shared" si="355"/>
        <v>ako18i_Dybstrøelse, lang ædeplads med spalter (kanal, bagskyl eller ringkanal) - gylle</v>
      </c>
    </row>
    <row r="331" spans="3:27" x14ac:dyDescent="0.25">
      <c r="C331" s="311"/>
      <c r="D331" s="311"/>
      <c r="E331" s="311"/>
      <c r="F331" s="311"/>
      <c r="G331" s="311"/>
      <c r="H331" s="311"/>
      <c r="I331" s="311"/>
      <c r="J331" s="311"/>
      <c r="K331" s="311"/>
      <c r="O331" s="662"/>
      <c r="P331" s="663"/>
      <c r="Q331" s="352" t="str">
        <f t="shared" ref="Q331:R331" si="382">C313</f>
        <v>Spaltegulvbokse</v>
      </c>
      <c r="R331" s="352" t="str">
        <f t="shared" si="382"/>
        <v>gylle</v>
      </c>
      <c r="S331" s="561">
        <f t="shared" ref="S331:T331" si="383">E313*$P$316</f>
        <v>51.111987096774186</v>
      </c>
      <c r="T331" s="561">
        <f t="shared" si="383"/>
        <v>34.378896082949304</v>
      </c>
      <c r="U331" s="352">
        <f t="shared" si="351"/>
        <v>0</v>
      </c>
      <c r="V331" s="352">
        <f t="shared" si="352"/>
        <v>0</v>
      </c>
      <c r="W331" s="352">
        <f t="shared" si="353"/>
        <v>0</v>
      </c>
      <c r="X331" s="142"/>
      <c r="Y331" s="561">
        <f t="shared" si="354"/>
        <v>368.65534820276497</v>
      </c>
      <c r="AA331" s="352" t="str">
        <f t="shared" si="355"/>
        <v>ako18i_Spaltegulvbokse - gylle</v>
      </c>
    </row>
    <row r="332" spans="3:27" x14ac:dyDescent="0.25">
      <c r="C332" s="311"/>
      <c r="D332" s="311"/>
      <c r="E332" s="311"/>
      <c r="F332" s="311"/>
      <c r="G332" s="311"/>
      <c r="H332" s="311"/>
      <c r="I332" s="311"/>
      <c r="J332" s="311"/>
      <c r="K332" s="311"/>
      <c r="O332" s="662"/>
      <c r="P332" s="663"/>
      <c r="Q332" s="352"/>
      <c r="R332" s="352"/>
      <c r="S332" s="561"/>
      <c r="T332" s="561"/>
      <c r="U332" s="352"/>
      <c r="V332" s="352"/>
      <c r="W332" s="352"/>
      <c r="X332" s="142"/>
      <c r="Y332" s="561"/>
      <c r="AA332" s="352"/>
    </row>
    <row r="333" spans="3:27" x14ac:dyDescent="0.25">
      <c r="C333" s="311"/>
      <c r="D333" s="311"/>
      <c r="E333" s="311"/>
      <c r="F333" s="311"/>
      <c r="G333" s="311"/>
      <c r="H333" s="311"/>
      <c r="I333" s="311"/>
      <c r="J333" s="311"/>
      <c r="K333" s="311"/>
      <c r="N333" s="134" t="str">
        <f>C296</f>
        <v>Årsopdræt 6 mdr. til kælvning (27 mdr) (kvier og stude), tung race</v>
      </c>
      <c r="O333" s="662"/>
      <c r="P333" s="663"/>
      <c r="Q333" s="353" t="s">
        <v>471</v>
      </c>
      <c r="R333" s="354"/>
      <c r="S333" s="561">
        <f>E297*$P$334</f>
        <v>49.92677419354839</v>
      </c>
      <c r="T333" s="561">
        <f>F297*$P$334</f>
        <v>33.581699308755759</v>
      </c>
      <c r="U333" s="352"/>
      <c r="V333" s="352"/>
      <c r="W333" s="352"/>
      <c r="X333" s="142"/>
      <c r="Y333" s="561">
        <f>K297*$P$334</f>
        <v>360.10676497695857</v>
      </c>
      <c r="AA333" s="352"/>
    </row>
    <row r="334" spans="3:27" x14ac:dyDescent="0.25">
      <c r="C334" s="311"/>
      <c r="D334" s="311"/>
      <c r="E334" s="311"/>
      <c r="F334" s="311"/>
      <c r="G334" s="311"/>
      <c r="H334" s="311"/>
      <c r="I334" s="311"/>
      <c r="J334" s="311"/>
      <c r="K334" s="311"/>
      <c r="O334" s="662" t="s">
        <v>312</v>
      </c>
      <c r="P334" s="663">
        <f>(((6 + 26.5) * 0.0729) + 1.93) / 4.34</f>
        <v>0.99061059907834104</v>
      </c>
      <c r="Q334" s="352" t="str">
        <f>C298</f>
        <v>Bindestald med grebning</v>
      </c>
      <c r="R334" s="352" t="str">
        <f>D298</f>
        <v>fast gødning</v>
      </c>
      <c r="S334" s="561">
        <f>E298*$P$334</f>
        <v>29.956064516129032</v>
      </c>
      <c r="T334" s="561">
        <f>F298*$P$334</f>
        <v>20.149019585253455</v>
      </c>
      <c r="U334" s="352">
        <f>G298</f>
        <v>0.75</v>
      </c>
      <c r="V334" s="352">
        <f>H298</f>
        <v>1.1634374999999999</v>
      </c>
      <c r="W334" s="352">
        <f>I298</f>
        <v>221.05312499999999</v>
      </c>
      <c r="X334" s="142"/>
      <c r="Y334" s="561">
        <f>K298*$P$334</f>
        <v>216.06405898617516</v>
      </c>
      <c r="AA334" s="352" t="str">
        <f>$O$334&amp;"_"&amp;Q334&amp;" - "&amp;R334</f>
        <v>atsi_Bindestald med grebning - fast gødning</v>
      </c>
    </row>
    <row r="335" spans="3:27" x14ac:dyDescent="0.25">
      <c r="C335" s="311"/>
      <c r="D335" s="311"/>
      <c r="E335" s="311"/>
      <c r="F335" s="311"/>
      <c r="G335" s="311"/>
      <c r="H335" s="311"/>
      <c r="I335" s="311"/>
      <c r="J335" s="311"/>
      <c r="K335" s="311"/>
      <c r="O335" s="664" t="s">
        <v>486</v>
      </c>
      <c r="P335" s="663"/>
      <c r="Q335" s="352" t="str">
        <f t="shared" ref="Q335:R335" si="384">C299</f>
        <v>Bindestald med grebning</v>
      </c>
      <c r="R335" s="352" t="str">
        <f t="shared" si="384"/>
        <v>ajle</v>
      </c>
      <c r="S335" s="561">
        <f t="shared" ref="S335:T335" si="385">E299*$P$334</f>
        <v>19.970709677419354</v>
      </c>
      <c r="T335" s="561">
        <f t="shared" si="385"/>
        <v>13.432679723502305</v>
      </c>
      <c r="U335" s="352">
        <f t="shared" ref="U335:W335" si="386">G299</f>
        <v>0</v>
      </c>
      <c r="V335" s="352">
        <f t="shared" si="386"/>
        <v>0</v>
      </c>
      <c r="W335" s="352">
        <f t="shared" si="386"/>
        <v>0</v>
      </c>
      <c r="X335" s="142"/>
      <c r="Y335" s="561">
        <f t="shared" ref="Y335:Y349" si="387">K299*$P$334</f>
        <v>144.04270599078342</v>
      </c>
      <c r="AA335" s="352" t="str">
        <f t="shared" ref="AA335:AA349" si="388">$O$334&amp;"_"&amp;Q335&amp;" - "&amp;R335</f>
        <v>atsi_Bindestald med grebning - ajle</v>
      </c>
    </row>
    <row r="336" spans="3:27" x14ac:dyDescent="0.25">
      <c r="C336" s="311"/>
      <c r="D336" s="311"/>
      <c r="E336" s="311"/>
      <c r="F336" s="311"/>
      <c r="G336" s="311"/>
      <c r="H336" s="311"/>
      <c r="I336" s="311"/>
      <c r="J336" s="311"/>
      <c r="K336" s="311"/>
      <c r="O336" s="662"/>
      <c r="P336" s="663"/>
      <c r="Q336" s="352" t="str">
        <f t="shared" ref="Q336:R336" si="389">C300</f>
        <v>Bindestald med riste</v>
      </c>
      <c r="R336" s="352" t="str">
        <f t="shared" si="389"/>
        <v>gylle</v>
      </c>
      <c r="S336" s="561">
        <f t="shared" ref="S336:T336" si="390">E300*$P$334</f>
        <v>49.92677419354839</v>
      </c>
      <c r="T336" s="561">
        <f t="shared" si="390"/>
        <v>33.581699308755759</v>
      </c>
      <c r="U336" s="352">
        <f t="shared" ref="U336:W336" si="391">G300</f>
        <v>0.75</v>
      </c>
      <c r="V336" s="352">
        <f t="shared" si="391"/>
        <v>1.1634374999999999</v>
      </c>
      <c r="W336" s="352">
        <f t="shared" si="391"/>
        <v>221.05312499999999</v>
      </c>
      <c r="X336" s="142"/>
      <c r="Y336" s="561">
        <f t="shared" si="387"/>
        <v>360.10676497695857</v>
      </c>
      <c r="AA336" s="352" t="str">
        <f t="shared" si="388"/>
        <v>atsi_Bindestald med riste - gylle</v>
      </c>
    </row>
    <row r="337" spans="3:27" x14ac:dyDescent="0.25">
      <c r="C337" s="311"/>
      <c r="D337" s="311"/>
      <c r="E337" s="311"/>
      <c r="F337" s="311"/>
      <c r="G337" s="311"/>
      <c r="H337" s="311"/>
      <c r="I337" s="311"/>
      <c r="J337" s="311"/>
      <c r="K337" s="311"/>
      <c r="O337" s="662"/>
      <c r="P337" s="663"/>
      <c r="Q337" s="352" t="str">
        <f t="shared" ref="Q337:R337" si="392">C301</f>
        <v>Sengestald med fast gulv</v>
      </c>
      <c r="R337" s="352" t="str">
        <f t="shared" si="392"/>
        <v>gylle</v>
      </c>
      <c r="S337" s="561">
        <f t="shared" ref="S337:T337" si="393">E301*$P$334</f>
        <v>49.92677419354839</v>
      </c>
      <c r="T337" s="561">
        <f t="shared" si="393"/>
        <v>33.581699308755759</v>
      </c>
      <c r="U337" s="352">
        <f t="shared" ref="U337:W337" si="394">G301</f>
        <v>0.3</v>
      </c>
      <c r="V337" s="352">
        <f t="shared" si="394"/>
        <v>0.46537500000000004</v>
      </c>
      <c r="W337" s="352">
        <f t="shared" si="394"/>
        <v>88.421250000000001</v>
      </c>
      <c r="X337" s="142"/>
      <c r="Y337" s="561">
        <f t="shared" si="387"/>
        <v>360.10676497695857</v>
      </c>
      <c r="AA337" s="352" t="str">
        <f t="shared" si="388"/>
        <v>atsi_Sengestald med fast gulv - gylle</v>
      </c>
    </row>
    <row r="338" spans="3:27" x14ac:dyDescent="0.25">
      <c r="C338" s="311"/>
      <c r="D338" s="311"/>
      <c r="E338" s="311"/>
      <c r="F338" s="311"/>
      <c r="G338" s="311"/>
      <c r="H338" s="311"/>
      <c r="I338" s="311"/>
      <c r="J338" s="311"/>
      <c r="K338" s="311"/>
      <c r="O338" s="662"/>
      <c r="P338" s="663"/>
      <c r="Q338" s="352" t="str">
        <f t="shared" ref="Q338:R338" si="395">C302</f>
        <v>Sengestald med spaltegulv (kanal, line- spil)</v>
      </c>
      <c r="R338" s="352" t="str">
        <f t="shared" si="395"/>
        <v>gylle</v>
      </c>
      <c r="S338" s="561">
        <f t="shared" ref="S338:T338" si="396">E302*$P$334</f>
        <v>49.92677419354839</v>
      </c>
      <c r="T338" s="561">
        <f t="shared" si="396"/>
        <v>33.581699308755759</v>
      </c>
      <c r="U338" s="352">
        <f t="shared" ref="U338:W338" si="397">G302</f>
        <v>0.3</v>
      </c>
      <c r="V338" s="352">
        <f t="shared" si="397"/>
        <v>0.46537500000000004</v>
      </c>
      <c r="W338" s="352">
        <f t="shared" si="397"/>
        <v>88.421250000000001</v>
      </c>
      <c r="X338" s="142"/>
      <c r="Y338" s="561">
        <f t="shared" si="387"/>
        <v>360.10676497695857</v>
      </c>
      <c r="AA338" s="352" t="str">
        <f t="shared" si="388"/>
        <v>atsi_Sengestald med spaltegulv (kanal, line- spil) - gylle</v>
      </c>
    </row>
    <row r="339" spans="3:27" x14ac:dyDescent="0.25">
      <c r="C339" s="311"/>
      <c r="D339" s="311"/>
      <c r="E339" s="311"/>
      <c r="F339" s="311"/>
      <c r="G339" s="311"/>
      <c r="H339" s="311"/>
      <c r="I339" s="311"/>
      <c r="J339" s="311"/>
      <c r="K339" s="311"/>
      <c r="O339" s="662"/>
      <c r="P339" s="663"/>
      <c r="Q339" s="352" t="str">
        <f t="shared" ref="Q339:R339" si="398">C303</f>
        <v>Sengestald med spaltegulv (kanal, bagskyl eller ringkanal)</v>
      </c>
      <c r="R339" s="352" t="str">
        <f t="shared" si="398"/>
        <v>gylle</v>
      </c>
      <c r="S339" s="561">
        <f t="shared" ref="S339:T339" si="399">E303*$P$334</f>
        <v>49.92677419354839</v>
      </c>
      <c r="T339" s="561">
        <f t="shared" si="399"/>
        <v>33.581699308755759</v>
      </c>
      <c r="U339" s="352">
        <f t="shared" ref="U339:W339" si="400">G303</f>
        <v>0.3</v>
      </c>
      <c r="V339" s="352">
        <f t="shared" si="400"/>
        <v>0.46537500000000004</v>
      </c>
      <c r="W339" s="352">
        <f t="shared" si="400"/>
        <v>88.421250000000001</v>
      </c>
      <c r="X339" s="142"/>
      <c r="Y339" s="561">
        <f t="shared" si="387"/>
        <v>360.10676497695857</v>
      </c>
      <c r="AA339" s="352" t="str">
        <f t="shared" si="388"/>
        <v>atsi_Sengestald med spaltegulv (kanal, bagskyl eller ringkanal) - gylle</v>
      </c>
    </row>
    <row r="340" spans="3:27" x14ac:dyDescent="0.25">
      <c r="C340" s="311"/>
      <c r="D340" s="311"/>
      <c r="E340" s="311"/>
      <c r="F340" s="311"/>
      <c r="G340" s="311"/>
      <c r="H340" s="311"/>
      <c r="I340" s="311"/>
      <c r="J340" s="311"/>
      <c r="K340" s="311"/>
      <c r="O340" s="662"/>
      <c r="P340" s="663"/>
      <c r="Q340" s="352" t="str">
        <f t="shared" ref="Q340:R340" si="401">C304</f>
        <v>Sengestald, fast drænet gulv med skraber og ajleafløb *)</v>
      </c>
      <c r="R340" s="352" t="str">
        <f t="shared" si="401"/>
        <v>gylle</v>
      </c>
      <c r="S340" s="561">
        <f t="shared" ref="S340:T340" si="402">E304*$P$334</f>
        <v>49.92677419354839</v>
      </c>
      <c r="T340" s="561">
        <f t="shared" si="402"/>
        <v>33.581699308755759</v>
      </c>
      <c r="U340" s="352">
        <f t="shared" ref="U340:W340" si="403">G304</f>
        <v>0.3</v>
      </c>
      <c r="V340" s="352">
        <f t="shared" si="403"/>
        <v>0.46537500000000004</v>
      </c>
      <c r="W340" s="352">
        <f t="shared" si="403"/>
        <v>88.421250000000001</v>
      </c>
      <c r="X340" s="142"/>
      <c r="Y340" s="561">
        <f t="shared" si="387"/>
        <v>360.10676497695857</v>
      </c>
      <c r="AA340" s="352" t="str">
        <f t="shared" si="388"/>
        <v>atsi_Sengestald, fast drænet gulv med skraber og ajleafløb *) - gylle</v>
      </c>
    </row>
    <row r="341" spans="3:27" x14ac:dyDescent="0.25">
      <c r="C341" s="311"/>
      <c r="D341" s="311"/>
      <c r="E341" s="311"/>
      <c r="F341" s="311"/>
      <c r="G341" s="311"/>
      <c r="H341" s="311"/>
      <c r="I341" s="311"/>
      <c r="J341" s="311"/>
      <c r="K341" s="311"/>
      <c r="O341" s="662"/>
      <c r="P341" s="663"/>
      <c r="Q341" s="352" t="str">
        <f t="shared" ref="Q341:R341" si="404">C305</f>
        <v>Dybstrøelse, hele arealet</v>
      </c>
      <c r="R341" s="352" t="str">
        <f t="shared" si="404"/>
        <v>dybstrøelse</v>
      </c>
      <c r="S341" s="561">
        <f t="shared" ref="S341:T341" si="405">E305*$P$334</f>
        <v>49.92677419354839</v>
      </c>
      <c r="T341" s="561">
        <f t="shared" si="405"/>
        <v>0</v>
      </c>
      <c r="U341" s="352">
        <f t="shared" ref="U341:W341" si="406">G305</f>
        <v>6</v>
      </c>
      <c r="V341" s="352">
        <f t="shared" si="406"/>
        <v>9.3074999999999992</v>
      </c>
      <c r="W341" s="352">
        <f t="shared" si="406"/>
        <v>1768.425</v>
      </c>
      <c r="X341" s="142"/>
      <c r="Y341" s="561">
        <f t="shared" si="387"/>
        <v>360.10676497695857</v>
      </c>
      <c r="AA341" s="352" t="str">
        <f t="shared" si="388"/>
        <v>atsi_Dybstrøelse, hele arealet - dybstrøelse</v>
      </c>
    </row>
    <row r="342" spans="3:27" x14ac:dyDescent="0.25">
      <c r="C342" s="311"/>
      <c r="D342" s="311"/>
      <c r="E342" s="311"/>
      <c r="F342" s="311"/>
      <c r="G342" s="311"/>
      <c r="H342" s="311"/>
      <c r="I342" s="311"/>
      <c r="J342" s="311"/>
      <c r="K342" s="311"/>
      <c r="O342" s="662"/>
      <c r="P342" s="663"/>
      <c r="Q342" s="352" t="str">
        <f t="shared" ref="Q342:R342" si="407">C306</f>
        <v>Dybstrøelse + kort ædeplads med fast gulv</v>
      </c>
      <c r="R342" s="352" t="str">
        <f t="shared" si="407"/>
        <v>dybstrøelse</v>
      </c>
      <c r="S342" s="561">
        <f t="shared" ref="S342:T342" si="408">E306*$P$334</f>
        <v>49.92677419354839</v>
      </c>
      <c r="T342" s="561">
        <f t="shared" si="408"/>
        <v>0</v>
      </c>
      <c r="U342" s="352">
        <f t="shared" ref="U342:W342" si="409">G306</f>
        <v>5</v>
      </c>
      <c r="V342" s="352">
        <f t="shared" si="409"/>
        <v>7.7562500000000005</v>
      </c>
      <c r="W342" s="352">
        <f t="shared" si="409"/>
        <v>1473.6874999999998</v>
      </c>
      <c r="X342" s="142"/>
      <c r="Y342" s="561">
        <f t="shared" si="387"/>
        <v>360.10676497695857</v>
      </c>
      <c r="AA342" s="352" t="str">
        <f t="shared" si="388"/>
        <v>atsi_Dybstrøelse + kort ædeplads med fast gulv - dybstrøelse</v>
      </c>
    </row>
    <row r="343" spans="3:27" x14ac:dyDescent="0.25">
      <c r="C343" s="311"/>
      <c r="D343" s="311"/>
      <c r="E343" s="311"/>
      <c r="F343" s="311"/>
      <c r="G343" s="311"/>
      <c r="H343" s="311"/>
      <c r="I343" s="311"/>
      <c r="J343" s="311"/>
      <c r="K343" s="311"/>
      <c r="O343" s="662"/>
      <c r="P343" s="663"/>
      <c r="Q343" s="352" t="str">
        <f t="shared" ref="Q343:R343" si="410">C307</f>
        <v>Dybstrøelse, lang ædeplads med fast gulv</v>
      </c>
      <c r="R343" s="352" t="str">
        <f t="shared" si="410"/>
        <v>Dybstrøelse</v>
      </c>
      <c r="S343" s="561">
        <f t="shared" ref="S343:T343" si="411">E307*$P$334</f>
        <v>29.956064516129032</v>
      </c>
      <c r="T343" s="561">
        <f t="shared" si="411"/>
        <v>0</v>
      </c>
      <c r="U343" s="352">
        <f t="shared" ref="U343:W343" si="412">G307</f>
        <v>5</v>
      </c>
      <c r="V343" s="352">
        <f t="shared" si="412"/>
        <v>7.7562500000000005</v>
      </c>
      <c r="W343" s="352">
        <f t="shared" si="412"/>
        <v>1473.6874999999998</v>
      </c>
      <c r="X343" s="142"/>
      <c r="Y343" s="561">
        <f t="shared" si="387"/>
        <v>216.06405898617516</v>
      </c>
      <c r="AA343" s="352" t="str">
        <f t="shared" si="388"/>
        <v>atsi_Dybstrøelse, lang ædeplads med fast gulv - Dybstrøelse</v>
      </c>
    </row>
    <row r="344" spans="3:27" x14ac:dyDescent="0.25">
      <c r="C344" s="311"/>
      <c r="D344" s="311"/>
      <c r="E344" s="311"/>
      <c r="F344" s="311"/>
      <c r="G344" s="311"/>
      <c r="H344" s="311"/>
      <c r="I344" s="311"/>
      <c r="J344" s="311"/>
      <c r="K344" s="311"/>
      <c r="O344" s="662"/>
      <c r="P344" s="663"/>
      <c r="Q344" s="352" t="str">
        <f t="shared" ref="Q344:R344" si="413">C308</f>
        <v>Dybstrøelse, lang ædeplads med fast gulv</v>
      </c>
      <c r="R344" s="352" t="str">
        <f t="shared" si="413"/>
        <v>gylle</v>
      </c>
      <c r="S344" s="561">
        <f t="shared" ref="S344:T344" si="414">E308*$P$334</f>
        <v>19.970709677419354</v>
      </c>
      <c r="T344" s="561">
        <f t="shared" si="414"/>
        <v>13.432679723502305</v>
      </c>
      <c r="U344" s="352">
        <f t="shared" ref="U344:W344" si="415">G308</f>
        <v>0</v>
      </c>
      <c r="V344" s="352">
        <f t="shared" si="415"/>
        <v>0</v>
      </c>
      <c r="W344" s="352">
        <f t="shared" si="415"/>
        <v>0</v>
      </c>
      <c r="X344" s="142"/>
      <c r="Y344" s="561">
        <f t="shared" si="387"/>
        <v>144.04270599078342</v>
      </c>
      <c r="AA344" s="352" t="str">
        <f t="shared" si="388"/>
        <v>atsi_Dybstrøelse, lang ædeplads med fast gulv - gylle</v>
      </c>
    </row>
    <row r="345" spans="3:27" x14ac:dyDescent="0.25">
      <c r="C345" s="311"/>
      <c r="D345" s="311"/>
      <c r="E345" s="311"/>
      <c r="F345" s="311"/>
      <c r="G345" s="311"/>
      <c r="H345" s="311"/>
      <c r="I345" s="311"/>
      <c r="J345" s="311"/>
      <c r="K345" s="311"/>
      <c r="O345" s="662"/>
      <c r="P345" s="663"/>
      <c r="Q345" s="352" t="str">
        <f t="shared" ref="Q345:R345" si="416">C309</f>
        <v>Dybstrøelse, lang ædeplads med spalter (kanal, linespil)</v>
      </c>
      <c r="R345" s="352" t="str">
        <f t="shared" si="416"/>
        <v>Dybstrøelse</v>
      </c>
      <c r="S345" s="561">
        <f t="shared" ref="S345:T345" si="417">E309*$P$334</f>
        <v>29.956064516129032</v>
      </c>
      <c r="T345" s="561">
        <f t="shared" si="417"/>
        <v>0</v>
      </c>
      <c r="U345" s="352">
        <f t="shared" ref="U345:W345" si="418">G309</f>
        <v>5</v>
      </c>
      <c r="V345" s="352">
        <f t="shared" si="418"/>
        <v>7.7562500000000005</v>
      </c>
      <c r="W345" s="352">
        <f t="shared" si="418"/>
        <v>1473.6874999999998</v>
      </c>
      <c r="X345" s="142"/>
      <c r="Y345" s="561">
        <f t="shared" si="387"/>
        <v>216.06405898617516</v>
      </c>
      <c r="AA345" s="352" t="str">
        <f t="shared" si="388"/>
        <v>atsi_Dybstrøelse, lang ædeplads med spalter (kanal, linespil) - Dybstrøelse</v>
      </c>
    </row>
    <row r="346" spans="3:27" x14ac:dyDescent="0.25">
      <c r="C346" s="311"/>
      <c r="D346" s="311"/>
      <c r="E346" s="311"/>
      <c r="F346" s="311"/>
      <c r="G346" s="311"/>
      <c r="H346" s="311"/>
      <c r="I346" s="311"/>
      <c r="J346" s="311"/>
      <c r="K346" s="311"/>
      <c r="O346" s="662"/>
      <c r="P346" s="663"/>
      <c r="Q346" s="352" t="str">
        <f t="shared" ref="Q346:R346" si="419">C310</f>
        <v>Dybstrøelse, lang ædeplads med spalter (kanal, linespil)</v>
      </c>
      <c r="R346" s="352" t="str">
        <f t="shared" si="419"/>
        <v>gylle</v>
      </c>
      <c r="S346" s="561">
        <f t="shared" ref="S346:T346" si="420">E310*$P$334</f>
        <v>19.970709677419354</v>
      </c>
      <c r="T346" s="561">
        <f t="shared" si="420"/>
        <v>13.432679723502305</v>
      </c>
      <c r="U346" s="352">
        <f t="shared" ref="U346:W346" si="421">G310</f>
        <v>0</v>
      </c>
      <c r="V346" s="352">
        <f t="shared" si="421"/>
        <v>0</v>
      </c>
      <c r="W346" s="352">
        <f t="shared" si="421"/>
        <v>0</v>
      </c>
      <c r="X346" s="142"/>
      <c r="Y346" s="561">
        <f t="shared" si="387"/>
        <v>144.04270599078342</v>
      </c>
      <c r="AA346" s="352" t="str">
        <f t="shared" si="388"/>
        <v>atsi_Dybstrøelse, lang ædeplads med spalter (kanal, linespil) - gylle</v>
      </c>
    </row>
    <row r="347" spans="3:27" x14ac:dyDescent="0.25">
      <c r="C347" s="311"/>
      <c r="D347" s="311"/>
      <c r="E347" s="311"/>
      <c r="F347" s="311"/>
      <c r="G347" s="311"/>
      <c r="H347" s="311"/>
      <c r="I347" s="311"/>
      <c r="J347" s="311"/>
      <c r="K347" s="311"/>
      <c r="O347" s="662"/>
      <c r="P347" s="663"/>
      <c r="Q347" s="352" t="str">
        <f t="shared" ref="Q347:R347" si="422">C311</f>
        <v>Dybstrøelse, lang ædeplads med spalter (kanal, bagskyl eller ringkanal)</v>
      </c>
      <c r="R347" s="352" t="str">
        <f t="shared" si="422"/>
        <v>Dybstrøelse</v>
      </c>
      <c r="S347" s="561">
        <f t="shared" ref="S347:T347" si="423">E311*$P$334</f>
        <v>29.956064516129032</v>
      </c>
      <c r="T347" s="561">
        <f t="shared" si="423"/>
        <v>0</v>
      </c>
      <c r="U347" s="352">
        <f t="shared" ref="U347:W347" si="424">G311</f>
        <v>5</v>
      </c>
      <c r="V347" s="352">
        <f t="shared" si="424"/>
        <v>7.7562500000000005</v>
      </c>
      <c r="W347" s="352">
        <f t="shared" si="424"/>
        <v>1473.6874999999998</v>
      </c>
      <c r="X347" s="142"/>
      <c r="Y347" s="561">
        <f t="shared" si="387"/>
        <v>216.06405898617516</v>
      </c>
      <c r="AA347" s="352" t="str">
        <f t="shared" si="388"/>
        <v>atsi_Dybstrøelse, lang ædeplads med spalter (kanal, bagskyl eller ringkanal) - Dybstrøelse</v>
      </c>
    </row>
    <row r="348" spans="3:27" x14ac:dyDescent="0.25">
      <c r="C348" s="311"/>
      <c r="D348" s="311"/>
      <c r="E348" s="311"/>
      <c r="F348" s="311"/>
      <c r="G348" s="311"/>
      <c r="H348" s="311"/>
      <c r="I348" s="311"/>
      <c r="J348" s="311"/>
      <c r="K348" s="311"/>
      <c r="O348" s="662"/>
      <c r="P348" s="663"/>
      <c r="Q348" s="352" t="str">
        <f t="shared" ref="Q348:R348" si="425">C312</f>
        <v>Dybstrøelse, lang ædeplads med spalter (kanal, bagskyl eller ringkanal)</v>
      </c>
      <c r="R348" s="352" t="str">
        <f t="shared" si="425"/>
        <v>gylle</v>
      </c>
      <c r="S348" s="561">
        <f t="shared" ref="S348:T348" si="426">E312*$P$334</f>
        <v>19.970709677419354</v>
      </c>
      <c r="T348" s="561">
        <f t="shared" si="426"/>
        <v>13.432679723502305</v>
      </c>
      <c r="U348" s="352">
        <f t="shared" ref="U348:W348" si="427">G312</f>
        <v>0</v>
      </c>
      <c r="V348" s="352">
        <f t="shared" si="427"/>
        <v>0</v>
      </c>
      <c r="W348" s="352">
        <f t="shared" si="427"/>
        <v>0</v>
      </c>
      <c r="X348" s="142"/>
      <c r="Y348" s="561">
        <f t="shared" si="387"/>
        <v>144.04270599078342</v>
      </c>
      <c r="AA348" s="352" t="str">
        <f t="shared" si="388"/>
        <v>atsi_Dybstrøelse, lang ædeplads med spalter (kanal, bagskyl eller ringkanal) - gylle</v>
      </c>
    </row>
    <row r="349" spans="3:27" x14ac:dyDescent="0.25">
      <c r="C349" s="311"/>
      <c r="D349" s="311"/>
      <c r="E349" s="311"/>
      <c r="F349" s="311"/>
      <c r="G349" s="311"/>
      <c r="H349" s="311"/>
      <c r="I349" s="311"/>
      <c r="J349" s="311"/>
      <c r="K349" s="311"/>
      <c r="O349" s="662"/>
      <c r="P349" s="663"/>
      <c r="Q349" s="352" t="str">
        <f t="shared" ref="Q349:R349" si="428">C313</f>
        <v>Spaltegulvbokse</v>
      </c>
      <c r="R349" s="352" t="str">
        <f t="shared" si="428"/>
        <v>gylle</v>
      </c>
      <c r="S349" s="561">
        <f t="shared" ref="S349:T349" si="429">E313*$P$334</f>
        <v>49.92677419354839</v>
      </c>
      <c r="T349" s="561">
        <f t="shared" si="429"/>
        <v>33.581699308755759</v>
      </c>
      <c r="U349" s="352">
        <f t="shared" ref="U349:W349" si="430">G313</f>
        <v>0</v>
      </c>
      <c r="V349" s="352">
        <f t="shared" si="430"/>
        <v>0</v>
      </c>
      <c r="W349" s="352">
        <f t="shared" si="430"/>
        <v>0</v>
      </c>
      <c r="X349" s="142"/>
      <c r="Y349" s="561">
        <f t="shared" si="387"/>
        <v>360.10676497695857</v>
      </c>
      <c r="AA349" s="352" t="str">
        <f t="shared" si="388"/>
        <v>atsi_Spaltegulvbokse - gylle</v>
      </c>
    </row>
    <row r="350" spans="3:27" x14ac:dyDescent="0.25">
      <c r="C350" s="342" t="str">
        <f>C87</f>
        <v xml:space="preserve">1 produceret tyrekalv, 0-6 mdr, tung race </v>
      </c>
      <c r="D350" s="311"/>
      <c r="E350" s="311"/>
      <c r="F350" s="311"/>
      <c r="G350" s="311"/>
      <c r="H350" s="311"/>
      <c r="I350" s="311"/>
      <c r="J350" s="311"/>
      <c r="K350" s="311"/>
      <c r="O350" s="662"/>
      <c r="P350" s="663"/>
      <c r="Q350" s="352"/>
      <c r="R350" s="352"/>
      <c r="S350" s="236"/>
      <c r="T350" s="236"/>
      <c r="U350" s="352"/>
      <c r="V350" s="352"/>
      <c r="W350" s="352"/>
      <c r="Y350" s="236"/>
      <c r="AA350" s="352"/>
    </row>
    <row r="351" spans="3:27" x14ac:dyDescent="0.25">
      <c r="C351" s="311" t="str">
        <f>C88</f>
        <v>Normtal</v>
      </c>
      <c r="D351" s="311">
        <f t="shared" ref="D351:K353" si="431">D88</f>
        <v>0.64285714285714279</v>
      </c>
      <c r="E351" s="311">
        <f t="shared" si="431"/>
        <v>12.6</v>
      </c>
      <c r="F351" s="311">
        <f t="shared" si="431"/>
        <v>8.1</v>
      </c>
      <c r="G351" s="311">
        <f t="shared" si="431"/>
        <v>0</v>
      </c>
      <c r="H351" s="311">
        <f t="shared" si="431"/>
        <v>0</v>
      </c>
      <c r="I351" s="311">
        <f t="shared" si="431"/>
        <v>0</v>
      </c>
      <c r="J351" s="311">
        <f t="shared" si="431"/>
        <v>1.37</v>
      </c>
      <c r="K351" s="311">
        <f t="shared" si="431"/>
        <v>87.68</v>
      </c>
      <c r="N351" s="134" t="str">
        <f>C350</f>
        <v xml:space="preserve">1 produceret tyrekalv, 0-6 mdr, tung race </v>
      </c>
      <c r="O351" s="662"/>
      <c r="P351" s="663"/>
      <c r="Q351" s="353" t="s">
        <v>472</v>
      </c>
      <c r="R351" s="354"/>
      <c r="S351" s="561">
        <f t="shared" ref="S351:T353" si="432">E351*$P$352</f>
        <v>12.6</v>
      </c>
      <c r="T351" s="561">
        <f t="shared" si="432"/>
        <v>8.1</v>
      </c>
      <c r="U351" s="352"/>
      <c r="V351" s="352"/>
      <c r="W351" s="352"/>
      <c r="X351" s="142"/>
      <c r="Y351" s="561">
        <f>K351*$P$352</f>
        <v>87.68</v>
      </c>
      <c r="Z351" s="142"/>
      <c r="AA351" s="352"/>
    </row>
    <row r="352" spans="3:27" x14ac:dyDescent="0.25">
      <c r="C352" s="311" t="str">
        <f>C89</f>
        <v>Dybstrøelse (hele arealet)</v>
      </c>
      <c r="D352" s="311" t="str">
        <f t="shared" si="431"/>
        <v>Dybstrøelse</v>
      </c>
      <c r="E352" s="311">
        <f t="shared" si="431"/>
        <v>12.6</v>
      </c>
      <c r="F352" s="311">
        <f t="shared" si="431"/>
        <v>0</v>
      </c>
      <c r="G352" s="311">
        <f t="shared" si="431"/>
        <v>1.5</v>
      </c>
      <c r="H352" s="311">
        <f t="shared" si="431"/>
        <v>2.3268749999999998</v>
      </c>
      <c r="I352" s="311">
        <f t="shared" si="431"/>
        <v>442.10624999999999</v>
      </c>
      <c r="J352" s="311">
        <f t="shared" si="431"/>
        <v>0</v>
      </c>
      <c r="K352" s="311">
        <f t="shared" si="431"/>
        <v>87.68</v>
      </c>
      <c r="N352" s="195" t="s">
        <v>211</v>
      </c>
      <c r="O352" s="662" t="s">
        <v>428</v>
      </c>
      <c r="P352" s="663">
        <v>1</v>
      </c>
      <c r="Q352" s="352" t="str">
        <f>C352</f>
        <v>Dybstrøelse (hele arealet)</v>
      </c>
      <c r="R352" s="352" t="str">
        <f>D352</f>
        <v>Dybstrøelse</v>
      </c>
      <c r="S352" s="561">
        <f t="shared" si="432"/>
        <v>12.6</v>
      </c>
      <c r="T352" s="561">
        <f t="shared" si="432"/>
        <v>0</v>
      </c>
      <c r="U352" s="352">
        <f t="shared" ref="U352" si="433">G352</f>
        <v>1.5</v>
      </c>
      <c r="V352" s="352">
        <f t="shared" ref="V352" si="434">H352</f>
        <v>2.3268749999999998</v>
      </c>
      <c r="W352" s="352">
        <f t="shared" ref="W352" si="435">I352</f>
        <v>442.10624999999999</v>
      </c>
      <c r="X352" s="142"/>
      <c r="Y352" s="561">
        <f>K352*$P$352</f>
        <v>87.68</v>
      </c>
      <c r="Z352" s="142"/>
      <c r="AA352" s="352" t="str">
        <f>$O$352&amp;"_"&amp;Q352&amp;" - "&amp;R352</f>
        <v>at06i_Dybstrøelse (hele arealet) - Dybstrøelse</v>
      </c>
    </row>
    <row r="353" spans="3:27" x14ac:dyDescent="0.25">
      <c r="C353" s="311" t="str">
        <f>C90</f>
        <v>Dybstrøelse + kort ædeplads med fast gulv</v>
      </c>
      <c r="D353" s="311" t="str">
        <f t="shared" si="431"/>
        <v>Dybstrøelse</v>
      </c>
      <c r="E353" s="311">
        <f t="shared" si="431"/>
        <v>12.6</v>
      </c>
      <c r="F353" s="311">
        <f t="shared" si="431"/>
        <v>0</v>
      </c>
      <c r="G353" s="311">
        <f t="shared" si="431"/>
        <v>1.5</v>
      </c>
      <c r="H353" s="311">
        <f t="shared" si="431"/>
        <v>2.3268749999999998</v>
      </c>
      <c r="I353" s="311">
        <f t="shared" si="431"/>
        <v>442.10624999999999</v>
      </c>
      <c r="J353" s="311">
        <f t="shared" si="431"/>
        <v>0</v>
      </c>
      <c r="K353" s="311">
        <f t="shared" si="431"/>
        <v>87.68</v>
      </c>
      <c r="N353" s="195" t="s">
        <v>266</v>
      </c>
      <c r="O353" s="662"/>
      <c r="P353" s="663"/>
      <c r="Q353" s="352" t="str">
        <f>C353</f>
        <v>Dybstrøelse + kort ædeplads med fast gulv</v>
      </c>
      <c r="R353" s="352" t="str">
        <f>D353</f>
        <v>Dybstrøelse</v>
      </c>
      <c r="S353" s="561">
        <f t="shared" si="432"/>
        <v>12.6</v>
      </c>
      <c r="T353" s="561">
        <f t="shared" si="432"/>
        <v>0</v>
      </c>
      <c r="U353" s="352">
        <f t="shared" ref="U353" si="436">G353</f>
        <v>1.5</v>
      </c>
      <c r="V353" s="352">
        <f t="shared" ref="V353" si="437">H353</f>
        <v>2.3268749999999998</v>
      </c>
      <c r="W353" s="352">
        <f t="shared" ref="W353" si="438">I353</f>
        <v>442.10624999999999</v>
      </c>
      <c r="X353" s="142"/>
      <c r="Y353" s="561">
        <f>K353*$P$352</f>
        <v>87.68</v>
      </c>
      <c r="Z353" s="142"/>
      <c r="AA353" s="352" t="str">
        <f>$O$352&amp;"_"&amp;Q353&amp;" - "&amp;R353</f>
        <v>at06i_Dybstrøelse + kort ædeplads med fast gulv - Dybstrøelse</v>
      </c>
    </row>
    <row r="354" spans="3:27" x14ac:dyDescent="0.25">
      <c r="C354" s="342" t="str">
        <f t="shared" ref="C354:C371" si="439">C95</f>
        <v>Ungtyre, 6 mdr. til slagtning (440 kg), tung race, (1 produceret ungtyr)</v>
      </c>
      <c r="D354" s="311"/>
      <c r="E354" s="311"/>
      <c r="F354" s="311"/>
      <c r="G354" s="311"/>
      <c r="H354" s="311"/>
      <c r="I354" s="311"/>
      <c r="J354" s="311"/>
      <c r="K354" s="311"/>
      <c r="O354" s="662"/>
      <c r="P354" s="663"/>
      <c r="Q354" s="352"/>
      <c r="R354" s="352"/>
      <c r="S354" s="236"/>
      <c r="T354" s="236"/>
      <c r="U354" s="352"/>
      <c r="V354" s="352"/>
      <c r="W354" s="352"/>
      <c r="Y354" s="236"/>
      <c r="AA354" s="352"/>
    </row>
    <row r="355" spans="3:27" x14ac:dyDescent="0.25">
      <c r="C355" s="311" t="str">
        <f t="shared" si="439"/>
        <v>Normtal</v>
      </c>
      <c r="D355" s="311">
        <f t="shared" ref="D355:K364" si="440">D96</f>
        <v>0.66382978723404251</v>
      </c>
      <c r="E355" s="311">
        <f t="shared" si="440"/>
        <v>23.5</v>
      </c>
      <c r="F355" s="311">
        <f t="shared" si="440"/>
        <v>15.6</v>
      </c>
      <c r="G355" s="311">
        <f t="shared" si="440"/>
        <v>0</v>
      </c>
      <c r="H355" s="311">
        <f t="shared" si="440"/>
        <v>0</v>
      </c>
      <c r="I355" s="311">
        <f t="shared" si="440"/>
        <v>0</v>
      </c>
      <c r="J355" s="311">
        <f t="shared" si="440"/>
        <v>2.72</v>
      </c>
      <c r="K355" s="311">
        <f t="shared" si="440"/>
        <v>174.08</v>
      </c>
      <c r="N355" s="134" t="str">
        <f>C354</f>
        <v>Ungtyre, 6 mdr. til slagtning (440 kg), tung race, (1 produceret ungtyr)</v>
      </c>
      <c r="O355" s="662"/>
      <c r="P355" s="663"/>
      <c r="Q355" s="353" t="s">
        <v>473</v>
      </c>
      <c r="R355" s="354"/>
      <c r="S355" s="561">
        <f>E355*$P$356</f>
        <v>42.82332633711507</v>
      </c>
      <c r="T355" s="561">
        <f>F355*$P$356</f>
        <v>28.42739961102107</v>
      </c>
      <c r="U355" s="352"/>
      <c r="V355" s="352"/>
      <c r="W355" s="352"/>
      <c r="X355" s="142"/>
      <c r="Y355" s="561">
        <f>K355*$P$356</f>
        <v>317.22062335170182</v>
      </c>
      <c r="Z355" s="142"/>
      <c r="AA355" s="352"/>
    </row>
    <row r="356" spans="3:27" x14ac:dyDescent="0.25">
      <c r="C356" s="311" t="str">
        <f t="shared" si="439"/>
        <v>Bindestald med grebning</v>
      </c>
      <c r="D356" s="311" t="str">
        <f t="shared" si="440"/>
        <v>fast gødning</v>
      </c>
      <c r="E356" s="311">
        <f t="shared" si="440"/>
        <v>14.1</v>
      </c>
      <c r="F356" s="311">
        <f t="shared" si="440"/>
        <v>9.36</v>
      </c>
      <c r="G356" s="311">
        <f t="shared" si="440"/>
        <v>0.75</v>
      </c>
      <c r="H356" s="311">
        <f t="shared" si="440"/>
        <v>1.1634374999999999</v>
      </c>
      <c r="I356" s="311">
        <f t="shared" si="440"/>
        <v>221.05312499999999</v>
      </c>
      <c r="J356" s="311">
        <f t="shared" si="440"/>
        <v>0</v>
      </c>
      <c r="K356" s="311">
        <f t="shared" si="440"/>
        <v>0</v>
      </c>
      <c r="N356" s="195" t="s">
        <v>211</v>
      </c>
      <c r="O356" s="662" t="s">
        <v>432</v>
      </c>
      <c r="P356" s="663">
        <f>(1.825 * (568 - 230) + 0.00605 * (568^2 - 230^2)) / 1234</f>
        <v>1.8222692058346839</v>
      </c>
      <c r="Q356" s="352" t="str">
        <f>C356</f>
        <v>Bindestald med grebning</v>
      </c>
      <c r="R356" s="352" t="str">
        <f>D356</f>
        <v>fast gødning</v>
      </c>
      <c r="S356" s="561">
        <f>E356*$P$356</f>
        <v>25.693995802269043</v>
      </c>
      <c r="T356" s="561">
        <f>F356*$P$356</f>
        <v>17.056439766612641</v>
      </c>
      <c r="U356" s="352">
        <f t="shared" ref="U356" si="441">G356</f>
        <v>0.75</v>
      </c>
      <c r="V356" s="352">
        <f t="shared" ref="V356" si="442">H356</f>
        <v>1.1634374999999999</v>
      </c>
      <c r="W356" s="352">
        <f t="shared" ref="W356" si="443">I356</f>
        <v>221.05312499999999</v>
      </c>
      <c r="X356" s="142"/>
      <c r="Y356" s="561">
        <f>K356*$P$356</f>
        <v>0</v>
      </c>
      <c r="Z356" s="142"/>
      <c r="AA356" s="352" t="str">
        <f>$O$356&amp;"_"&amp;Q356&amp;" - "&amp;R356</f>
        <v>atu12i_Bindestald med grebning - fast gødning</v>
      </c>
    </row>
    <row r="357" spans="3:27" x14ac:dyDescent="0.25">
      <c r="C357" s="311" t="str">
        <f t="shared" si="439"/>
        <v>Bindestald med grebning</v>
      </c>
      <c r="D357" s="311" t="str">
        <f t="shared" si="440"/>
        <v>ajle</v>
      </c>
      <c r="E357" s="311">
        <f t="shared" si="440"/>
        <v>9.4</v>
      </c>
      <c r="F357" s="311">
        <f t="shared" si="440"/>
        <v>6.24</v>
      </c>
      <c r="G357" s="311">
        <f t="shared" si="440"/>
        <v>0</v>
      </c>
      <c r="H357" s="311">
        <f t="shared" si="440"/>
        <v>0</v>
      </c>
      <c r="I357" s="311">
        <f t="shared" si="440"/>
        <v>0</v>
      </c>
      <c r="J357" s="311">
        <f t="shared" si="440"/>
        <v>0</v>
      </c>
      <c r="K357" s="311">
        <f t="shared" si="440"/>
        <v>0</v>
      </c>
      <c r="N357" s="195" t="s">
        <v>212</v>
      </c>
      <c r="O357" s="664" t="s">
        <v>483</v>
      </c>
      <c r="P357" s="663"/>
      <c r="Q357" s="352" t="str">
        <f t="shared" ref="Q357:Q371" si="444">C357</f>
        <v>Bindestald med grebning</v>
      </c>
      <c r="R357" s="352" t="str">
        <f t="shared" ref="R357:R371" si="445">D357</f>
        <v>ajle</v>
      </c>
      <c r="S357" s="561">
        <f t="shared" ref="S357:S371" si="446">E357*$P$356</f>
        <v>17.12933053484603</v>
      </c>
      <c r="T357" s="561">
        <f t="shared" ref="T357:T371" si="447">F357*$P$356</f>
        <v>11.370959844408429</v>
      </c>
      <c r="U357" s="352">
        <f t="shared" ref="U357:U371" si="448">G357</f>
        <v>0</v>
      </c>
      <c r="V357" s="352">
        <f t="shared" ref="V357:V371" si="449">H357</f>
        <v>0</v>
      </c>
      <c r="W357" s="352">
        <f t="shared" ref="W357:W371" si="450">I357</f>
        <v>0</v>
      </c>
      <c r="X357" s="142"/>
      <c r="Y357" s="561">
        <f t="shared" ref="Y357:Y371" si="451">K357*$P$356</f>
        <v>0</v>
      </c>
      <c r="Z357" s="142"/>
      <c r="AA357" s="352" t="str">
        <f t="shared" ref="AA357:AA371" si="452">$O$356&amp;"_"&amp;Q357&amp;" - "&amp;R357</f>
        <v>atu12i_Bindestald med grebning - ajle</v>
      </c>
    </row>
    <row r="358" spans="3:27" x14ac:dyDescent="0.25">
      <c r="C358" s="311" t="str">
        <f t="shared" si="439"/>
        <v>Bindestald med riste</v>
      </c>
      <c r="D358" s="311" t="str">
        <f t="shared" si="440"/>
        <v>gylle</v>
      </c>
      <c r="E358" s="311">
        <f t="shared" si="440"/>
        <v>23.5</v>
      </c>
      <c r="F358" s="311">
        <f t="shared" si="440"/>
        <v>15.6</v>
      </c>
      <c r="G358" s="311">
        <f t="shared" si="440"/>
        <v>0.75</v>
      </c>
      <c r="H358" s="311">
        <f t="shared" si="440"/>
        <v>1.1634374999999999</v>
      </c>
      <c r="I358" s="311">
        <f t="shared" si="440"/>
        <v>221.05312499999999</v>
      </c>
      <c r="J358" s="311">
        <f t="shared" si="440"/>
        <v>0</v>
      </c>
      <c r="K358" s="311">
        <f t="shared" si="440"/>
        <v>174.08</v>
      </c>
      <c r="N358" s="195" t="s">
        <v>212</v>
      </c>
      <c r="O358" s="662"/>
      <c r="P358" s="663"/>
      <c r="Q358" s="352" t="str">
        <f t="shared" si="444"/>
        <v>Bindestald med riste</v>
      </c>
      <c r="R358" s="352" t="str">
        <f t="shared" si="445"/>
        <v>gylle</v>
      </c>
      <c r="S358" s="561">
        <f t="shared" si="446"/>
        <v>42.82332633711507</v>
      </c>
      <c r="T358" s="561">
        <f t="shared" si="447"/>
        <v>28.42739961102107</v>
      </c>
      <c r="U358" s="352">
        <f t="shared" si="448"/>
        <v>0.75</v>
      </c>
      <c r="V358" s="352">
        <f t="shared" si="449"/>
        <v>1.1634374999999999</v>
      </c>
      <c r="W358" s="352">
        <f t="shared" si="450"/>
        <v>221.05312499999999</v>
      </c>
      <c r="X358" s="142"/>
      <c r="Y358" s="561">
        <f t="shared" si="451"/>
        <v>317.22062335170182</v>
      </c>
      <c r="Z358" s="142"/>
      <c r="AA358" s="352" t="str">
        <f t="shared" si="452"/>
        <v>atu12i_Bindestald med riste - gylle</v>
      </c>
    </row>
    <row r="359" spans="3:27" x14ac:dyDescent="0.25">
      <c r="C359" s="311" t="str">
        <f t="shared" si="439"/>
        <v>Sengestald med fast gulv</v>
      </c>
      <c r="D359" s="311" t="str">
        <f t="shared" si="440"/>
        <v>gylle</v>
      </c>
      <c r="E359" s="311">
        <f t="shared" si="440"/>
        <v>23.5</v>
      </c>
      <c r="F359" s="311">
        <f t="shared" si="440"/>
        <v>15.6</v>
      </c>
      <c r="G359" s="311">
        <f t="shared" si="440"/>
        <v>0.3</v>
      </c>
      <c r="H359" s="311">
        <f t="shared" si="440"/>
        <v>0.46537500000000004</v>
      </c>
      <c r="I359" s="311">
        <f t="shared" si="440"/>
        <v>88.421250000000001</v>
      </c>
      <c r="J359" s="311">
        <f t="shared" si="440"/>
        <v>0</v>
      </c>
      <c r="K359" s="311">
        <f t="shared" si="440"/>
        <v>174.08</v>
      </c>
      <c r="O359" s="662"/>
      <c r="P359" s="663"/>
      <c r="Q359" s="352" t="str">
        <f t="shared" si="444"/>
        <v>Sengestald med fast gulv</v>
      </c>
      <c r="R359" s="352" t="str">
        <f t="shared" si="445"/>
        <v>gylle</v>
      </c>
      <c r="S359" s="561">
        <f t="shared" si="446"/>
        <v>42.82332633711507</v>
      </c>
      <c r="T359" s="561">
        <f t="shared" si="447"/>
        <v>28.42739961102107</v>
      </c>
      <c r="U359" s="352">
        <f t="shared" si="448"/>
        <v>0.3</v>
      </c>
      <c r="V359" s="352">
        <f t="shared" si="449"/>
        <v>0.46537500000000004</v>
      </c>
      <c r="W359" s="352">
        <f t="shared" si="450"/>
        <v>88.421250000000001</v>
      </c>
      <c r="X359" s="142"/>
      <c r="Y359" s="561">
        <f t="shared" si="451"/>
        <v>317.22062335170182</v>
      </c>
      <c r="Z359" s="142"/>
      <c r="AA359" s="352" t="str">
        <f t="shared" si="452"/>
        <v>atu12i_Sengestald med fast gulv - gylle</v>
      </c>
    </row>
    <row r="360" spans="3:27" x14ac:dyDescent="0.25">
      <c r="C360" s="311" t="str">
        <f t="shared" si="439"/>
        <v>Sengestald med spaltegulv (kanal, line- spil)</v>
      </c>
      <c r="D360" s="311" t="str">
        <f t="shared" si="440"/>
        <v>gylle</v>
      </c>
      <c r="E360" s="311">
        <f t="shared" si="440"/>
        <v>23.5</v>
      </c>
      <c r="F360" s="311">
        <f t="shared" si="440"/>
        <v>15.6</v>
      </c>
      <c r="G360" s="311">
        <f t="shared" si="440"/>
        <v>0.3</v>
      </c>
      <c r="H360" s="311">
        <f t="shared" si="440"/>
        <v>0.46537500000000004</v>
      </c>
      <c r="I360" s="311">
        <f t="shared" si="440"/>
        <v>88.421250000000001</v>
      </c>
      <c r="J360" s="311">
        <f t="shared" si="440"/>
        <v>0</v>
      </c>
      <c r="K360" s="311">
        <f t="shared" si="440"/>
        <v>174.08</v>
      </c>
      <c r="O360" s="662"/>
      <c r="P360" s="663"/>
      <c r="Q360" s="352" t="str">
        <f t="shared" si="444"/>
        <v>Sengestald med spaltegulv (kanal, line- spil)</v>
      </c>
      <c r="R360" s="352" t="str">
        <f t="shared" si="445"/>
        <v>gylle</v>
      </c>
      <c r="S360" s="561">
        <f t="shared" si="446"/>
        <v>42.82332633711507</v>
      </c>
      <c r="T360" s="561">
        <f t="shared" si="447"/>
        <v>28.42739961102107</v>
      </c>
      <c r="U360" s="352">
        <f t="shared" si="448"/>
        <v>0.3</v>
      </c>
      <c r="V360" s="352">
        <f t="shared" si="449"/>
        <v>0.46537500000000004</v>
      </c>
      <c r="W360" s="352">
        <f t="shared" si="450"/>
        <v>88.421250000000001</v>
      </c>
      <c r="X360" s="142"/>
      <c r="Y360" s="561">
        <f t="shared" si="451"/>
        <v>317.22062335170182</v>
      </c>
      <c r="Z360" s="142"/>
      <c r="AA360" s="352" t="str">
        <f t="shared" si="452"/>
        <v>atu12i_Sengestald med spaltegulv (kanal, line- spil) - gylle</v>
      </c>
    </row>
    <row r="361" spans="3:27" x14ac:dyDescent="0.25">
      <c r="C361" s="311" t="str">
        <f t="shared" si="439"/>
        <v>Sengestald med spaltegulv (kanal, bagskyl eller ringkanal)</v>
      </c>
      <c r="D361" s="311" t="str">
        <f t="shared" si="440"/>
        <v>gylle</v>
      </c>
      <c r="E361" s="311">
        <f t="shared" si="440"/>
        <v>23.5</v>
      </c>
      <c r="F361" s="311">
        <f t="shared" si="440"/>
        <v>15.6</v>
      </c>
      <c r="G361" s="311">
        <f t="shared" si="440"/>
        <v>0.3</v>
      </c>
      <c r="H361" s="311">
        <f t="shared" si="440"/>
        <v>0.46537500000000004</v>
      </c>
      <c r="I361" s="311">
        <f t="shared" si="440"/>
        <v>88.421250000000001</v>
      </c>
      <c r="J361" s="311">
        <f t="shared" si="440"/>
        <v>0</v>
      </c>
      <c r="K361" s="311">
        <f t="shared" si="440"/>
        <v>174.08</v>
      </c>
      <c r="O361" s="662"/>
      <c r="P361" s="663"/>
      <c r="Q361" s="352" t="str">
        <f t="shared" si="444"/>
        <v>Sengestald med spaltegulv (kanal, bagskyl eller ringkanal)</v>
      </c>
      <c r="R361" s="352" t="str">
        <f t="shared" si="445"/>
        <v>gylle</v>
      </c>
      <c r="S361" s="561">
        <f t="shared" si="446"/>
        <v>42.82332633711507</v>
      </c>
      <c r="T361" s="561">
        <f t="shared" si="447"/>
        <v>28.42739961102107</v>
      </c>
      <c r="U361" s="352">
        <f t="shared" si="448"/>
        <v>0.3</v>
      </c>
      <c r="V361" s="352">
        <f t="shared" si="449"/>
        <v>0.46537500000000004</v>
      </c>
      <c r="W361" s="352">
        <f t="shared" si="450"/>
        <v>88.421250000000001</v>
      </c>
      <c r="X361" s="142"/>
      <c r="Y361" s="561">
        <f t="shared" si="451"/>
        <v>317.22062335170182</v>
      </c>
      <c r="Z361" s="142"/>
      <c r="AA361" s="352" t="str">
        <f t="shared" si="452"/>
        <v>atu12i_Sengestald med spaltegulv (kanal, bagskyl eller ringkanal) - gylle</v>
      </c>
    </row>
    <row r="362" spans="3:27" x14ac:dyDescent="0.25">
      <c r="C362" s="311" t="str">
        <f t="shared" si="439"/>
        <v>Sengestald, fast drænet gulv med skra- ber og ajleafløb *)</v>
      </c>
      <c r="D362" s="311" t="str">
        <f t="shared" si="440"/>
        <v>gylle</v>
      </c>
      <c r="E362" s="311">
        <f t="shared" si="440"/>
        <v>23.5</v>
      </c>
      <c r="F362" s="311">
        <f t="shared" si="440"/>
        <v>15.6</v>
      </c>
      <c r="G362" s="311">
        <f t="shared" si="440"/>
        <v>0.3</v>
      </c>
      <c r="H362" s="311">
        <f t="shared" si="440"/>
        <v>0.46537500000000004</v>
      </c>
      <c r="I362" s="311">
        <f t="shared" si="440"/>
        <v>88.421250000000001</v>
      </c>
      <c r="J362" s="311">
        <f t="shared" si="440"/>
        <v>0</v>
      </c>
      <c r="K362" s="311">
        <f t="shared" si="440"/>
        <v>174.08</v>
      </c>
      <c r="O362" s="662"/>
      <c r="P362" s="663"/>
      <c r="Q362" s="352" t="str">
        <f t="shared" si="444"/>
        <v>Sengestald, fast drænet gulv med skra- ber og ajleafløb *)</v>
      </c>
      <c r="R362" s="352" t="str">
        <f t="shared" si="445"/>
        <v>gylle</v>
      </c>
      <c r="S362" s="561">
        <f t="shared" si="446"/>
        <v>42.82332633711507</v>
      </c>
      <c r="T362" s="561">
        <f t="shared" si="447"/>
        <v>28.42739961102107</v>
      </c>
      <c r="U362" s="352">
        <f t="shared" si="448"/>
        <v>0.3</v>
      </c>
      <c r="V362" s="352">
        <f t="shared" si="449"/>
        <v>0.46537500000000004</v>
      </c>
      <c r="W362" s="352">
        <f t="shared" si="450"/>
        <v>88.421250000000001</v>
      </c>
      <c r="X362" s="142"/>
      <c r="Y362" s="561">
        <f t="shared" si="451"/>
        <v>317.22062335170182</v>
      </c>
      <c r="Z362" s="142"/>
      <c r="AA362" s="352" t="str">
        <f t="shared" si="452"/>
        <v>atu12i_Sengestald, fast drænet gulv med skra- ber og ajleafløb *) - gylle</v>
      </c>
    </row>
    <row r="363" spans="3:27" x14ac:dyDescent="0.25">
      <c r="C363" s="311" t="str">
        <f t="shared" si="439"/>
        <v>Dybstrøelse, hele arealet</v>
      </c>
      <c r="D363" s="311" t="str">
        <f t="shared" si="440"/>
        <v>dybstrøelse</v>
      </c>
      <c r="E363" s="311">
        <f t="shared" si="440"/>
        <v>23.5</v>
      </c>
      <c r="F363" s="311">
        <f t="shared" si="440"/>
        <v>0</v>
      </c>
      <c r="G363" s="311">
        <f t="shared" si="440"/>
        <v>3.8</v>
      </c>
      <c r="H363" s="311">
        <f t="shared" si="440"/>
        <v>5.8947500000000002</v>
      </c>
      <c r="I363" s="311">
        <f t="shared" si="440"/>
        <v>1120.0024999999998</v>
      </c>
      <c r="J363" s="311">
        <f t="shared" si="440"/>
        <v>0</v>
      </c>
      <c r="K363" s="311">
        <f t="shared" si="440"/>
        <v>174.08</v>
      </c>
      <c r="O363" s="662"/>
      <c r="P363" s="663"/>
      <c r="Q363" s="352" t="str">
        <f t="shared" si="444"/>
        <v>Dybstrøelse, hele arealet</v>
      </c>
      <c r="R363" s="352" t="str">
        <f t="shared" si="445"/>
        <v>dybstrøelse</v>
      </c>
      <c r="S363" s="561">
        <f t="shared" si="446"/>
        <v>42.82332633711507</v>
      </c>
      <c r="T363" s="561">
        <f t="shared" si="447"/>
        <v>0</v>
      </c>
      <c r="U363" s="352">
        <f t="shared" si="448"/>
        <v>3.8</v>
      </c>
      <c r="V363" s="352">
        <f t="shared" si="449"/>
        <v>5.8947500000000002</v>
      </c>
      <c r="W363" s="352">
        <f t="shared" si="450"/>
        <v>1120.0024999999998</v>
      </c>
      <c r="X363" s="142"/>
      <c r="Y363" s="561">
        <f t="shared" si="451"/>
        <v>317.22062335170182</v>
      </c>
      <c r="Z363" s="142"/>
      <c r="AA363" s="352" t="str">
        <f t="shared" si="452"/>
        <v>atu12i_Dybstrøelse, hele arealet - dybstrøelse</v>
      </c>
    </row>
    <row r="364" spans="3:27" x14ac:dyDescent="0.25">
      <c r="C364" s="311" t="str">
        <f t="shared" si="439"/>
        <v>Dybstrøelse + kort ædeplads med fast gulv</v>
      </c>
      <c r="D364" s="311" t="str">
        <f t="shared" si="440"/>
        <v>dybstrøelse</v>
      </c>
      <c r="E364" s="311">
        <f t="shared" si="440"/>
        <v>23.5</v>
      </c>
      <c r="F364" s="311">
        <f t="shared" si="440"/>
        <v>0</v>
      </c>
      <c r="G364" s="311">
        <f t="shared" si="440"/>
        <v>3.2</v>
      </c>
      <c r="H364" s="311">
        <f t="shared" si="440"/>
        <v>4.9640000000000004</v>
      </c>
      <c r="I364" s="311">
        <f t="shared" si="440"/>
        <v>943.16000000000008</v>
      </c>
      <c r="J364" s="311">
        <f t="shared" si="440"/>
        <v>0</v>
      </c>
      <c r="K364" s="311">
        <f t="shared" si="440"/>
        <v>174.08</v>
      </c>
      <c r="O364" s="662"/>
      <c r="P364" s="663"/>
      <c r="Q364" s="352" t="str">
        <f t="shared" si="444"/>
        <v>Dybstrøelse + kort ædeplads med fast gulv</v>
      </c>
      <c r="R364" s="352" t="str">
        <f t="shared" si="445"/>
        <v>dybstrøelse</v>
      </c>
      <c r="S364" s="561">
        <f t="shared" si="446"/>
        <v>42.82332633711507</v>
      </c>
      <c r="T364" s="561">
        <f t="shared" si="447"/>
        <v>0</v>
      </c>
      <c r="U364" s="352">
        <f t="shared" si="448"/>
        <v>3.2</v>
      </c>
      <c r="V364" s="352">
        <f t="shared" si="449"/>
        <v>4.9640000000000004</v>
      </c>
      <c r="W364" s="352">
        <f t="shared" si="450"/>
        <v>943.16000000000008</v>
      </c>
      <c r="X364" s="142"/>
      <c r="Y364" s="561">
        <f t="shared" si="451"/>
        <v>317.22062335170182</v>
      </c>
      <c r="Z364" s="142"/>
      <c r="AA364" s="352" t="str">
        <f t="shared" si="452"/>
        <v>atu12i_Dybstrøelse + kort ædeplads med fast gulv - dybstrøelse</v>
      </c>
    </row>
    <row r="365" spans="3:27" x14ac:dyDescent="0.25">
      <c r="C365" s="311" t="str">
        <f t="shared" si="439"/>
        <v>Dybstrøelse, lang ædeplads med fast gulv</v>
      </c>
      <c r="D365" s="311" t="str">
        <f t="shared" ref="D365:K371" si="453">D106</f>
        <v>dybstrøelse</v>
      </c>
      <c r="E365" s="311">
        <f t="shared" si="453"/>
        <v>14.1</v>
      </c>
      <c r="F365" s="311">
        <f t="shared" si="453"/>
        <v>0</v>
      </c>
      <c r="G365" s="311">
        <f t="shared" si="453"/>
        <v>3.1</v>
      </c>
      <c r="H365" s="311">
        <f t="shared" si="453"/>
        <v>4.8088749999999996</v>
      </c>
      <c r="I365" s="311">
        <f t="shared" si="453"/>
        <v>913.68624999999986</v>
      </c>
      <c r="J365" s="311">
        <f t="shared" si="453"/>
        <v>0</v>
      </c>
      <c r="K365" s="311">
        <f t="shared" si="453"/>
        <v>104.44800000000001</v>
      </c>
      <c r="O365" s="662"/>
      <c r="P365" s="663"/>
      <c r="Q365" s="352" t="str">
        <f t="shared" si="444"/>
        <v>Dybstrøelse, lang ædeplads med fast gulv</v>
      </c>
      <c r="R365" s="352" t="str">
        <f t="shared" si="445"/>
        <v>dybstrøelse</v>
      </c>
      <c r="S365" s="561">
        <f t="shared" si="446"/>
        <v>25.693995802269043</v>
      </c>
      <c r="T365" s="561">
        <f t="shared" si="447"/>
        <v>0</v>
      </c>
      <c r="U365" s="352">
        <f t="shared" si="448"/>
        <v>3.1</v>
      </c>
      <c r="V365" s="352">
        <f t="shared" si="449"/>
        <v>4.8088749999999996</v>
      </c>
      <c r="W365" s="352">
        <f t="shared" si="450"/>
        <v>913.68624999999986</v>
      </c>
      <c r="X365" s="142"/>
      <c r="Y365" s="561">
        <f t="shared" si="451"/>
        <v>190.33237401102107</v>
      </c>
      <c r="Z365" s="142"/>
      <c r="AA365" s="352" t="str">
        <f t="shared" si="452"/>
        <v>atu12i_Dybstrøelse, lang ædeplads med fast gulv - dybstrøelse</v>
      </c>
    </row>
    <row r="366" spans="3:27" x14ac:dyDescent="0.25">
      <c r="C366" s="311" t="str">
        <f t="shared" si="439"/>
        <v>Dybstrøelse, lang ædeplads med fast gulv</v>
      </c>
      <c r="D366" s="311" t="str">
        <f t="shared" si="453"/>
        <v>gylle</v>
      </c>
      <c r="E366" s="311">
        <f t="shared" si="453"/>
        <v>9.4</v>
      </c>
      <c r="F366" s="311">
        <f t="shared" si="453"/>
        <v>6.24</v>
      </c>
      <c r="G366" s="311">
        <f t="shared" si="453"/>
        <v>0</v>
      </c>
      <c r="H366" s="311">
        <f t="shared" si="453"/>
        <v>0</v>
      </c>
      <c r="I366" s="311">
        <f t="shared" si="453"/>
        <v>0</v>
      </c>
      <c r="J366" s="311">
        <f t="shared" si="453"/>
        <v>0</v>
      </c>
      <c r="K366" s="311">
        <f t="shared" si="453"/>
        <v>69.632000000000005</v>
      </c>
      <c r="O366" s="662"/>
      <c r="P366" s="663"/>
      <c r="Q366" s="352" t="str">
        <f t="shared" si="444"/>
        <v>Dybstrøelse, lang ædeplads med fast gulv</v>
      </c>
      <c r="R366" s="352" t="str">
        <f t="shared" si="445"/>
        <v>gylle</v>
      </c>
      <c r="S366" s="561">
        <f t="shared" si="446"/>
        <v>17.12933053484603</v>
      </c>
      <c r="T366" s="561">
        <f t="shared" si="447"/>
        <v>11.370959844408429</v>
      </c>
      <c r="U366" s="352">
        <f t="shared" si="448"/>
        <v>0</v>
      </c>
      <c r="V366" s="352">
        <f t="shared" si="449"/>
        <v>0</v>
      </c>
      <c r="W366" s="352">
        <f t="shared" si="450"/>
        <v>0</v>
      </c>
      <c r="X366" s="142"/>
      <c r="Y366" s="561">
        <f t="shared" si="451"/>
        <v>126.88824934068072</v>
      </c>
      <c r="Z366" s="142"/>
      <c r="AA366" s="352" t="str">
        <f t="shared" si="452"/>
        <v>atu12i_Dybstrøelse, lang ædeplads med fast gulv - gylle</v>
      </c>
    </row>
    <row r="367" spans="3:27" x14ac:dyDescent="0.25">
      <c r="C367" s="311" t="str">
        <f t="shared" si="439"/>
        <v>Dybstrøelse, lang ædeplads med spalter (kanal, linespil)</v>
      </c>
      <c r="D367" s="311" t="str">
        <f t="shared" si="453"/>
        <v>dybstrøelse</v>
      </c>
      <c r="E367" s="311">
        <f t="shared" si="453"/>
        <v>14.1</v>
      </c>
      <c r="F367" s="311">
        <f t="shared" si="453"/>
        <v>0</v>
      </c>
      <c r="G367" s="311">
        <f t="shared" si="453"/>
        <v>3.1</v>
      </c>
      <c r="H367" s="311">
        <f t="shared" si="453"/>
        <v>4.8088749999999996</v>
      </c>
      <c r="I367" s="311">
        <f t="shared" si="453"/>
        <v>913.68624999999986</v>
      </c>
      <c r="J367" s="311">
        <f t="shared" si="453"/>
        <v>0</v>
      </c>
      <c r="K367" s="311">
        <f t="shared" si="453"/>
        <v>104.44800000000001</v>
      </c>
      <c r="O367" s="662"/>
      <c r="P367" s="663"/>
      <c r="Q367" s="352" t="str">
        <f t="shared" si="444"/>
        <v>Dybstrøelse, lang ædeplads med spalter (kanal, linespil)</v>
      </c>
      <c r="R367" s="352" t="str">
        <f t="shared" si="445"/>
        <v>dybstrøelse</v>
      </c>
      <c r="S367" s="561">
        <f t="shared" si="446"/>
        <v>25.693995802269043</v>
      </c>
      <c r="T367" s="561">
        <f t="shared" si="447"/>
        <v>0</v>
      </c>
      <c r="U367" s="352">
        <f t="shared" si="448"/>
        <v>3.1</v>
      </c>
      <c r="V367" s="352">
        <f t="shared" si="449"/>
        <v>4.8088749999999996</v>
      </c>
      <c r="W367" s="352">
        <f t="shared" si="450"/>
        <v>913.68624999999986</v>
      </c>
      <c r="X367" s="142"/>
      <c r="Y367" s="561">
        <f t="shared" si="451"/>
        <v>190.33237401102107</v>
      </c>
      <c r="Z367" s="142"/>
      <c r="AA367" s="352" t="str">
        <f t="shared" si="452"/>
        <v>atu12i_Dybstrøelse, lang ædeplads med spalter (kanal, linespil) - dybstrøelse</v>
      </c>
    </row>
    <row r="368" spans="3:27" x14ac:dyDescent="0.25">
      <c r="C368" s="311" t="str">
        <f t="shared" si="439"/>
        <v>Dybstrøelse, lang ædeplads med spalter (kanal, linespil)</v>
      </c>
      <c r="D368" s="311" t="str">
        <f t="shared" si="453"/>
        <v>gylle</v>
      </c>
      <c r="E368" s="311">
        <f t="shared" si="453"/>
        <v>9.4</v>
      </c>
      <c r="F368" s="311">
        <f t="shared" si="453"/>
        <v>6.24</v>
      </c>
      <c r="G368" s="311">
        <f t="shared" si="453"/>
        <v>0</v>
      </c>
      <c r="H368" s="311">
        <f t="shared" si="453"/>
        <v>0</v>
      </c>
      <c r="I368" s="311">
        <f t="shared" si="453"/>
        <v>0</v>
      </c>
      <c r="J368" s="311">
        <f t="shared" si="453"/>
        <v>0</v>
      </c>
      <c r="K368" s="311">
        <f t="shared" si="453"/>
        <v>69.632000000000005</v>
      </c>
      <c r="O368" s="662"/>
      <c r="P368" s="663"/>
      <c r="Q368" s="352" t="str">
        <f t="shared" si="444"/>
        <v>Dybstrøelse, lang ædeplads med spalter (kanal, linespil)</v>
      </c>
      <c r="R368" s="352" t="str">
        <f t="shared" si="445"/>
        <v>gylle</v>
      </c>
      <c r="S368" s="561">
        <f t="shared" si="446"/>
        <v>17.12933053484603</v>
      </c>
      <c r="T368" s="561">
        <f t="shared" si="447"/>
        <v>11.370959844408429</v>
      </c>
      <c r="U368" s="352">
        <f t="shared" si="448"/>
        <v>0</v>
      </c>
      <c r="V368" s="352">
        <f t="shared" si="449"/>
        <v>0</v>
      </c>
      <c r="W368" s="352">
        <f t="shared" si="450"/>
        <v>0</v>
      </c>
      <c r="X368" s="142"/>
      <c r="Y368" s="561">
        <f t="shared" si="451"/>
        <v>126.88824934068072</v>
      </c>
      <c r="Z368" s="142"/>
      <c r="AA368" s="352" t="str">
        <f t="shared" si="452"/>
        <v>atu12i_Dybstrøelse, lang ædeplads med spalter (kanal, linespil) - gylle</v>
      </c>
    </row>
    <row r="369" spans="3:27" x14ac:dyDescent="0.25">
      <c r="C369" s="311" t="str">
        <f t="shared" si="439"/>
        <v>Dybstrøelse, lang ædeplads med spalter (kanal, bagskyl eller ringkanal)</v>
      </c>
      <c r="D369" s="311" t="str">
        <f t="shared" si="453"/>
        <v>dybstrøelse</v>
      </c>
      <c r="E369" s="311">
        <f t="shared" si="453"/>
        <v>14.1</v>
      </c>
      <c r="F369" s="311">
        <f t="shared" si="453"/>
        <v>0</v>
      </c>
      <c r="G369" s="311">
        <f t="shared" si="453"/>
        <v>3.1</v>
      </c>
      <c r="H369" s="311">
        <f t="shared" si="453"/>
        <v>4.8088749999999996</v>
      </c>
      <c r="I369" s="311">
        <f t="shared" si="453"/>
        <v>913.68624999999986</v>
      </c>
      <c r="J369" s="311">
        <f t="shared" si="453"/>
        <v>0</v>
      </c>
      <c r="K369" s="311">
        <f t="shared" si="453"/>
        <v>104.44800000000001</v>
      </c>
      <c r="O369" s="662"/>
      <c r="P369" s="663"/>
      <c r="Q369" s="352" t="str">
        <f t="shared" si="444"/>
        <v>Dybstrøelse, lang ædeplads med spalter (kanal, bagskyl eller ringkanal)</v>
      </c>
      <c r="R369" s="352" t="str">
        <f t="shared" si="445"/>
        <v>dybstrøelse</v>
      </c>
      <c r="S369" s="561">
        <f t="shared" si="446"/>
        <v>25.693995802269043</v>
      </c>
      <c r="T369" s="561">
        <f t="shared" si="447"/>
        <v>0</v>
      </c>
      <c r="U369" s="352">
        <f t="shared" si="448"/>
        <v>3.1</v>
      </c>
      <c r="V369" s="352">
        <f t="shared" si="449"/>
        <v>4.8088749999999996</v>
      </c>
      <c r="W369" s="352">
        <f t="shared" si="450"/>
        <v>913.68624999999986</v>
      </c>
      <c r="X369" s="142"/>
      <c r="Y369" s="561">
        <f t="shared" si="451"/>
        <v>190.33237401102107</v>
      </c>
      <c r="Z369" s="142"/>
      <c r="AA369" s="352" t="str">
        <f t="shared" si="452"/>
        <v>atu12i_Dybstrøelse, lang ædeplads med spalter (kanal, bagskyl eller ringkanal) - dybstrøelse</v>
      </c>
    </row>
    <row r="370" spans="3:27" x14ac:dyDescent="0.25">
      <c r="C370" s="311" t="str">
        <f t="shared" si="439"/>
        <v>Dybstrøelse, lang ædeplads med spalter (kanal, bagskyl eller ringkanal)</v>
      </c>
      <c r="D370" s="311" t="str">
        <f t="shared" si="453"/>
        <v>gylle</v>
      </c>
      <c r="E370" s="311">
        <f t="shared" si="453"/>
        <v>9.4</v>
      </c>
      <c r="F370" s="311">
        <f t="shared" si="453"/>
        <v>6.24</v>
      </c>
      <c r="G370" s="311">
        <f t="shared" si="453"/>
        <v>0</v>
      </c>
      <c r="H370" s="311">
        <f t="shared" si="453"/>
        <v>0</v>
      </c>
      <c r="I370" s="311">
        <f t="shared" si="453"/>
        <v>0</v>
      </c>
      <c r="J370" s="311">
        <f t="shared" si="453"/>
        <v>0</v>
      </c>
      <c r="K370" s="311">
        <f t="shared" si="453"/>
        <v>69.632000000000005</v>
      </c>
      <c r="O370" s="662"/>
      <c r="P370" s="663"/>
      <c r="Q370" s="352" t="str">
        <f t="shared" si="444"/>
        <v>Dybstrøelse, lang ædeplads med spalter (kanal, bagskyl eller ringkanal)</v>
      </c>
      <c r="R370" s="352" t="str">
        <f t="shared" si="445"/>
        <v>gylle</v>
      </c>
      <c r="S370" s="561">
        <f t="shared" si="446"/>
        <v>17.12933053484603</v>
      </c>
      <c r="T370" s="561">
        <f t="shared" si="447"/>
        <v>11.370959844408429</v>
      </c>
      <c r="U370" s="352">
        <f t="shared" si="448"/>
        <v>0</v>
      </c>
      <c r="V370" s="352">
        <f t="shared" si="449"/>
        <v>0</v>
      </c>
      <c r="W370" s="352">
        <f t="shared" si="450"/>
        <v>0</v>
      </c>
      <c r="X370" s="142"/>
      <c r="Y370" s="561">
        <f t="shared" si="451"/>
        <v>126.88824934068072</v>
      </c>
      <c r="Z370" s="142"/>
      <c r="AA370" s="352" t="str">
        <f t="shared" si="452"/>
        <v>atu12i_Dybstrøelse, lang ædeplads med spalter (kanal, bagskyl eller ringkanal) - gylle</v>
      </c>
    </row>
    <row r="371" spans="3:27" x14ac:dyDescent="0.25">
      <c r="C371" s="311" t="str">
        <f t="shared" si="439"/>
        <v>Spaltegulvbokse</v>
      </c>
      <c r="D371" s="311" t="str">
        <f t="shared" si="453"/>
        <v>gylle</v>
      </c>
      <c r="E371" s="311">
        <f t="shared" si="453"/>
        <v>23.5</v>
      </c>
      <c r="F371" s="311">
        <f t="shared" si="453"/>
        <v>15.6</v>
      </c>
      <c r="G371" s="311">
        <f t="shared" si="453"/>
        <v>0</v>
      </c>
      <c r="H371" s="311">
        <f t="shared" si="453"/>
        <v>0</v>
      </c>
      <c r="I371" s="311">
        <f t="shared" si="453"/>
        <v>0</v>
      </c>
      <c r="J371" s="311">
        <f t="shared" si="453"/>
        <v>0</v>
      </c>
      <c r="K371" s="311">
        <f t="shared" si="453"/>
        <v>174.08</v>
      </c>
      <c r="O371" s="662"/>
      <c r="P371" s="663"/>
      <c r="Q371" s="352" t="str">
        <f t="shared" si="444"/>
        <v>Spaltegulvbokse</v>
      </c>
      <c r="R371" s="352" t="str">
        <f t="shared" si="445"/>
        <v>gylle</v>
      </c>
      <c r="S371" s="561">
        <f t="shared" si="446"/>
        <v>42.82332633711507</v>
      </c>
      <c r="T371" s="561">
        <f t="shared" si="447"/>
        <v>28.42739961102107</v>
      </c>
      <c r="U371" s="352">
        <f t="shared" si="448"/>
        <v>0</v>
      </c>
      <c r="V371" s="352">
        <f t="shared" si="449"/>
        <v>0</v>
      </c>
      <c r="W371" s="352">
        <f t="shared" si="450"/>
        <v>0</v>
      </c>
      <c r="X371" s="142"/>
      <c r="Y371" s="561">
        <f t="shared" si="451"/>
        <v>317.22062335170182</v>
      </c>
      <c r="Z371" s="142"/>
      <c r="AA371" s="352" t="str">
        <f t="shared" si="452"/>
        <v>atu12i_Spaltegulvbokse - gylle</v>
      </c>
    </row>
    <row r="372" spans="3:27" x14ac:dyDescent="0.25">
      <c r="C372" s="311"/>
      <c r="D372" s="311"/>
      <c r="E372" s="311"/>
      <c r="F372" s="311"/>
      <c r="G372" s="311"/>
      <c r="H372" s="311"/>
      <c r="I372" s="311"/>
      <c r="J372" s="311"/>
      <c r="K372" s="311"/>
      <c r="O372" s="662"/>
      <c r="P372" s="663"/>
      <c r="Q372" s="352"/>
      <c r="R372" s="352"/>
      <c r="S372" s="561"/>
      <c r="T372" s="561"/>
      <c r="U372" s="352"/>
      <c r="V372" s="352"/>
      <c r="W372" s="352"/>
      <c r="X372" s="142"/>
      <c r="Y372" s="561"/>
      <c r="Z372" s="142"/>
      <c r="AA372" s="352"/>
    </row>
    <row r="373" spans="3:27" x14ac:dyDescent="0.25">
      <c r="C373" s="311"/>
      <c r="D373" s="311"/>
      <c r="E373" s="311"/>
      <c r="F373" s="311"/>
      <c r="G373" s="311"/>
      <c r="H373" s="311"/>
      <c r="I373" s="311"/>
      <c r="J373" s="311"/>
      <c r="K373" s="311"/>
      <c r="N373" s="134" t="str">
        <f>C354</f>
        <v>Ungtyre, 6 mdr. til slagtning (440 kg), tung race, (1 produceret ungtyr)</v>
      </c>
      <c r="O373" s="662"/>
      <c r="P373" s="663"/>
      <c r="Q373" s="353" t="s">
        <v>474</v>
      </c>
      <c r="R373" s="354"/>
      <c r="S373" s="561">
        <f>E355*$P$374</f>
        <v>60.539355510534847</v>
      </c>
      <c r="T373" s="561">
        <f>F355*$P$374</f>
        <v>40.187827487844409</v>
      </c>
      <c r="U373" s="352"/>
      <c r="V373" s="352"/>
      <c r="W373" s="352"/>
      <c r="X373" s="142"/>
      <c r="Y373" s="561">
        <f>K355*$P$374</f>
        <v>448.45493647974075</v>
      </c>
      <c r="Z373" s="142"/>
      <c r="AA373" s="352"/>
    </row>
    <row r="374" spans="3:27" x14ac:dyDescent="0.25">
      <c r="C374" s="311"/>
      <c r="D374" s="311"/>
      <c r="E374" s="311"/>
      <c r="F374" s="311"/>
      <c r="G374" s="311"/>
      <c r="H374" s="311"/>
      <c r="I374" s="311"/>
      <c r="J374" s="311"/>
      <c r="K374" s="311"/>
      <c r="O374" s="662" t="s">
        <v>433</v>
      </c>
      <c r="P374" s="663">
        <f>(1.825 * (668 - 230) + 0.00605 * (668^2 - 230^2)) / 1234</f>
        <v>2.576142787682334</v>
      </c>
      <c r="Q374" s="352" t="str">
        <f>C356</f>
        <v>Bindestald med grebning</v>
      </c>
      <c r="R374" s="352" t="str">
        <f>D356</f>
        <v>fast gødning</v>
      </c>
      <c r="S374" s="561">
        <f>E356*$P$374</f>
        <v>36.323613306320908</v>
      </c>
      <c r="T374" s="561">
        <f>F356*$P$374</f>
        <v>24.112696492706643</v>
      </c>
      <c r="U374" s="352">
        <f>G356</f>
        <v>0.75</v>
      </c>
      <c r="V374" s="352">
        <f>H356</f>
        <v>1.1634374999999999</v>
      </c>
      <c r="W374" s="352">
        <f>I356</f>
        <v>221.05312499999999</v>
      </c>
      <c r="X374" s="142"/>
      <c r="Y374" s="561">
        <f>K356*$P$374</f>
        <v>0</v>
      </c>
      <c r="Z374" s="142"/>
      <c r="AA374" s="352" t="str">
        <f>$O$374&amp;"_"&amp;Q374&amp;" - "&amp;R374</f>
        <v>ato12i_Bindestald med grebning - fast gødning</v>
      </c>
    </row>
    <row r="375" spans="3:27" x14ac:dyDescent="0.25">
      <c r="C375" s="311"/>
      <c r="D375" s="311"/>
      <c r="E375" s="311"/>
      <c r="F375" s="311"/>
      <c r="G375" s="311"/>
      <c r="H375" s="311"/>
      <c r="I375" s="311"/>
      <c r="J375" s="311"/>
      <c r="K375" s="311"/>
      <c r="O375" s="664" t="s">
        <v>484</v>
      </c>
      <c r="P375" s="663"/>
      <c r="Q375" s="352" t="str">
        <f t="shared" ref="Q375:R375" si="454">C357</f>
        <v>Bindestald med grebning</v>
      </c>
      <c r="R375" s="352" t="str">
        <f t="shared" si="454"/>
        <v>ajle</v>
      </c>
      <c r="S375" s="561">
        <f t="shared" ref="S375:T375" si="455">E357*$P$374</f>
        <v>24.215742204213939</v>
      </c>
      <c r="T375" s="561">
        <f t="shared" si="455"/>
        <v>16.075130995137766</v>
      </c>
      <c r="U375" s="352">
        <f t="shared" ref="U375:W375" si="456">G357</f>
        <v>0</v>
      </c>
      <c r="V375" s="352">
        <f t="shared" si="456"/>
        <v>0</v>
      </c>
      <c r="W375" s="352">
        <f t="shared" si="456"/>
        <v>0</v>
      </c>
      <c r="X375" s="142"/>
      <c r="Y375" s="561">
        <f t="shared" ref="Y375:Y388" si="457">K357*$P$374</f>
        <v>0</v>
      </c>
      <c r="Z375" s="142"/>
      <c r="AA375" s="352" t="str">
        <f t="shared" ref="AA375:AA388" si="458">$O$374&amp;"_"&amp;Q375&amp;" - "&amp;R375</f>
        <v>ato12i_Bindestald med grebning - ajle</v>
      </c>
    </row>
    <row r="376" spans="3:27" x14ac:dyDescent="0.25">
      <c r="C376" s="311"/>
      <c r="D376" s="311"/>
      <c r="E376" s="311"/>
      <c r="F376" s="311"/>
      <c r="G376" s="311"/>
      <c r="H376" s="311"/>
      <c r="I376" s="311"/>
      <c r="J376" s="311"/>
      <c r="K376" s="311"/>
      <c r="O376" s="662"/>
      <c r="P376" s="663"/>
      <c r="Q376" s="352" t="str">
        <f t="shared" ref="Q376:R376" si="459">C358</f>
        <v>Bindestald med riste</v>
      </c>
      <c r="R376" s="352" t="str">
        <f t="shared" si="459"/>
        <v>gylle</v>
      </c>
      <c r="S376" s="561">
        <f t="shared" ref="S376:T376" si="460">E358*$P$374</f>
        <v>60.539355510534847</v>
      </c>
      <c r="T376" s="561">
        <f t="shared" si="460"/>
        <v>40.187827487844409</v>
      </c>
      <c r="U376" s="352">
        <f t="shared" ref="U376:W376" si="461">G358</f>
        <v>0.75</v>
      </c>
      <c r="V376" s="352">
        <f t="shared" si="461"/>
        <v>1.1634374999999999</v>
      </c>
      <c r="W376" s="352">
        <f t="shared" si="461"/>
        <v>221.05312499999999</v>
      </c>
      <c r="X376" s="142"/>
      <c r="Y376" s="561">
        <f t="shared" si="457"/>
        <v>448.45493647974075</v>
      </c>
      <c r="Z376" s="142"/>
      <c r="AA376" s="352" t="str">
        <f t="shared" si="458"/>
        <v>ato12i_Bindestald med riste - gylle</v>
      </c>
    </row>
    <row r="377" spans="3:27" x14ac:dyDescent="0.25">
      <c r="C377" s="311"/>
      <c r="D377" s="311"/>
      <c r="E377" s="311"/>
      <c r="F377" s="311"/>
      <c r="G377" s="311"/>
      <c r="H377" s="311"/>
      <c r="I377" s="311"/>
      <c r="J377" s="311"/>
      <c r="K377" s="311"/>
      <c r="O377" s="662"/>
      <c r="P377" s="663"/>
      <c r="Q377" s="352" t="str">
        <f t="shared" ref="Q377:R377" si="462">C359</f>
        <v>Sengestald med fast gulv</v>
      </c>
      <c r="R377" s="352" t="str">
        <f t="shared" si="462"/>
        <v>gylle</v>
      </c>
      <c r="S377" s="561">
        <f t="shared" ref="S377:T377" si="463">E359*$P$374</f>
        <v>60.539355510534847</v>
      </c>
      <c r="T377" s="561">
        <f t="shared" si="463"/>
        <v>40.187827487844409</v>
      </c>
      <c r="U377" s="352">
        <f t="shared" ref="U377:W377" si="464">G359</f>
        <v>0.3</v>
      </c>
      <c r="V377" s="352">
        <f t="shared" si="464"/>
        <v>0.46537500000000004</v>
      </c>
      <c r="W377" s="352">
        <f t="shared" si="464"/>
        <v>88.421250000000001</v>
      </c>
      <c r="X377" s="142"/>
      <c r="Y377" s="561">
        <f t="shared" si="457"/>
        <v>448.45493647974075</v>
      </c>
      <c r="Z377" s="142"/>
      <c r="AA377" s="352" t="str">
        <f t="shared" si="458"/>
        <v>ato12i_Sengestald med fast gulv - gylle</v>
      </c>
    </row>
    <row r="378" spans="3:27" x14ac:dyDescent="0.25">
      <c r="C378" s="311"/>
      <c r="D378" s="311"/>
      <c r="E378" s="311"/>
      <c r="F378" s="311"/>
      <c r="G378" s="311"/>
      <c r="H378" s="311"/>
      <c r="I378" s="311"/>
      <c r="J378" s="311"/>
      <c r="K378" s="311"/>
      <c r="O378" s="662"/>
      <c r="P378" s="663"/>
      <c r="Q378" s="352" t="str">
        <f t="shared" ref="Q378:R378" si="465">C360</f>
        <v>Sengestald med spaltegulv (kanal, line- spil)</v>
      </c>
      <c r="R378" s="352" t="str">
        <f t="shared" si="465"/>
        <v>gylle</v>
      </c>
      <c r="S378" s="561">
        <f t="shared" ref="S378:T378" si="466">E360*$P$374</f>
        <v>60.539355510534847</v>
      </c>
      <c r="T378" s="561">
        <f t="shared" si="466"/>
        <v>40.187827487844409</v>
      </c>
      <c r="U378" s="352">
        <f t="shared" ref="U378:W378" si="467">G360</f>
        <v>0.3</v>
      </c>
      <c r="V378" s="352">
        <f t="shared" si="467"/>
        <v>0.46537500000000004</v>
      </c>
      <c r="W378" s="352">
        <f t="shared" si="467"/>
        <v>88.421250000000001</v>
      </c>
      <c r="X378" s="142"/>
      <c r="Y378" s="561">
        <f t="shared" si="457"/>
        <v>448.45493647974075</v>
      </c>
      <c r="Z378" s="142"/>
      <c r="AA378" s="352" t="str">
        <f t="shared" si="458"/>
        <v>ato12i_Sengestald med spaltegulv (kanal, line- spil) - gylle</v>
      </c>
    </row>
    <row r="379" spans="3:27" x14ac:dyDescent="0.25">
      <c r="C379" s="311"/>
      <c r="D379" s="311"/>
      <c r="E379" s="311"/>
      <c r="F379" s="311"/>
      <c r="G379" s="311"/>
      <c r="H379" s="311"/>
      <c r="I379" s="311"/>
      <c r="J379" s="311"/>
      <c r="K379" s="311"/>
      <c r="O379" s="662"/>
      <c r="P379" s="663"/>
      <c r="Q379" s="352" t="str">
        <f t="shared" ref="Q379:R379" si="468">C361</f>
        <v>Sengestald med spaltegulv (kanal, bagskyl eller ringkanal)</v>
      </c>
      <c r="R379" s="352" t="str">
        <f t="shared" si="468"/>
        <v>gylle</v>
      </c>
      <c r="S379" s="561">
        <f t="shared" ref="S379:T379" si="469">E361*$P$374</f>
        <v>60.539355510534847</v>
      </c>
      <c r="T379" s="561">
        <f t="shared" si="469"/>
        <v>40.187827487844409</v>
      </c>
      <c r="U379" s="352">
        <f t="shared" ref="U379:W379" si="470">G361</f>
        <v>0.3</v>
      </c>
      <c r="V379" s="352">
        <f t="shared" si="470"/>
        <v>0.46537500000000004</v>
      </c>
      <c r="W379" s="352">
        <f t="shared" si="470"/>
        <v>88.421250000000001</v>
      </c>
      <c r="X379" s="142"/>
      <c r="Y379" s="561">
        <f t="shared" si="457"/>
        <v>448.45493647974075</v>
      </c>
      <c r="Z379" s="142"/>
      <c r="AA379" s="352" t="str">
        <f t="shared" si="458"/>
        <v>ato12i_Sengestald med spaltegulv (kanal, bagskyl eller ringkanal) - gylle</v>
      </c>
    </row>
    <row r="380" spans="3:27" x14ac:dyDescent="0.25">
      <c r="C380" s="311"/>
      <c r="D380" s="311"/>
      <c r="E380" s="311"/>
      <c r="F380" s="311"/>
      <c r="G380" s="311"/>
      <c r="H380" s="311"/>
      <c r="I380" s="311"/>
      <c r="J380" s="311"/>
      <c r="K380" s="311"/>
      <c r="O380" s="662"/>
      <c r="P380" s="663"/>
      <c r="Q380" s="352" t="str">
        <f t="shared" ref="Q380:R380" si="471">C362</f>
        <v>Sengestald, fast drænet gulv med skra- ber og ajleafløb *)</v>
      </c>
      <c r="R380" s="352" t="str">
        <f t="shared" si="471"/>
        <v>gylle</v>
      </c>
      <c r="S380" s="561">
        <f t="shared" ref="S380:T380" si="472">E362*$P$374</f>
        <v>60.539355510534847</v>
      </c>
      <c r="T380" s="561">
        <f t="shared" si="472"/>
        <v>40.187827487844409</v>
      </c>
      <c r="U380" s="352">
        <f t="shared" ref="U380:W380" si="473">G362</f>
        <v>0.3</v>
      </c>
      <c r="V380" s="352">
        <f t="shared" si="473"/>
        <v>0.46537500000000004</v>
      </c>
      <c r="W380" s="352">
        <f t="shared" si="473"/>
        <v>88.421250000000001</v>
      </c>
      <c r="X380" s="142"/>
      <c r="Y380" s="561">
        <f t="shared" si="457"/>
        <v>448.45493647974075</v>
      </c>
      <c r="Z380" s="142"/>
      <c r="AA380" s="352" t="str">
        <f t="shared" si="458"/>
        <v>ato12i_Sengestald, fast drænet gulv med skra- ber og ajleafløb *) - gylle</v>
      </c>
    </row>
    <row r="381" spans="3:27" x14ac:dyDescent="0.25">
      <c r="C381" s="311"/>
      <c r="D381" s="311"/>
      <c r="E381" s="311"/>
      <c r="F381" s="311"/>
      <c r="G381" s="311"/>
      <c r="H381" s="311"/>
      <c r="I381" s="311"/>
      <c r="J381" s="311"/>
      <c r="K381" s="311"/>
      <c r="O381" s="662"/>
      <c r="P381" s="663"/>
      <c r="Q381" s="352" t="str">
        <f t="shared" ref="Q381:R381" si="474">C363</f>
        <v>Dybstrøelse, hele arealet</v>
      </c>
      <c r="R381" s="352" t="str">
        <f t="shared" si="474"/>
        <v>dybstrøelse</v>
      </c>
      <c r="S381" s="561">
        <f t="shared" ref="S381:T381" si="475">E363*$P$374</f>
        <v>60.539355510534847</v>
      </c>
      <c r="T381" s="561">
        <f t="shared" si="475"/>
        <v>0</v>
      </c>
      <c r="U381" s="352">
        <f t="shared" ref="U381:W381" si="476">G363</f>
        <v>3.8</v>
      </c>
      <c r="V381" s="352">
        <f t="shared" si="476"/>
        <v>5.8947500000000002</v>
      </c>
      <c r="W381" s="352">
        <f t="shared" si="476"/>
        <v>1120.0024999999998</v>
      </c>
      <c r="X381" s="142"/>
      <c r="Y381" s="561">
        <f t="shared" si="457"/>
        <v>448.45493647974075</v>
      </c>
      <c r="Z381" s="142"/>
      <c r="AA381" s="352" t="str">
        <f t="shared" si="458"/>
        <v>ato12i_Dybstrøelse, hele arealet - dybstrøelse</v>
      </c>
    </row>
    <row r="382" spans="3:27" x14ac:dyDescent="0.25">
      <c r="C382" s="311"/>
      <c r="D382" s="311"/>
      <c r="E382" s="311"/>
      <c r="F382" s="311"/>
      <c r="G382" s="311"/>
      <c r="H382" s="311"/>
      <c r="I382" s="311"/>
      <c r="J382" s="311"/>
      <c r="K382" s="311"/>
      <c r="O382" s="662"/>
      <c r="P382" s="663"/>
      <c r="Q382" s="352" t="str">
        <f t="shared" ref="Q382:R382" si="477">C364</f>
        <v>Dybstrøelse + kort ædeplads med fast gulv</v>
      </c>
      <c r="R382" s="352" t="str">
        <f t="shared" si="477"/>
        <v>dybstrøelse</v>
      </c>
      <c r="S382" s="561">
        <f t="shared" ref="S382:T382" si="478">E364*$P$374</f>
        <v>60.539355510534847</v>
      </c>
      <c r="T382" s="561">
        <f t="shared" si="478"/>
        <v>0</v>
      </c>
      <c r="U382" s="352">
        <f t="shared" ref="U382:W382" si="479">G364</f>
        <v>3.2</v>
      </c>
      <c r="V382" s="352">
        <f t="shared" si="479"/>
        <v>4.9640000000000004</v>
      </c>
      <c r="W382" s="352">
        <f t="shared" si="479"/>
        <v>943.16000000000008</v>
      </c>
      <c r="X382" s="142"/>
      <c r="Y382" s="561">
        <f t="shared" si="457"/>
        <v>448.45493647974075</v>
      </c>
      <c r="Z382" s="142"/>
      <c r="AA382" s="352" t="str">
        <f t="shared" si="458"/>
        <v>ato12i_Dybstrøelse + kort ædeplads med fast gulv - dybstrøelse</v>
      </c>
    </row>
    <row r="383" spans="3:27" x14ac:dyDescent="0.25">
      <c r="C383" s="311"/>
      <c r="D383" s="311"/>
      <c r="E383" s="311"/>
      <c r="F383" s="311"/>
      <c r="G383" s="311"/>
      <c r="H383" s="311"/>
      <c r="I383" s="311"/>
      <c r="J383" s="311"/>
      <c r="K383" s="311"/>
      <c r="O383" s="662"/>
      <c r="P383" s="663"/>
      <c r="Q383" s="352" t="str">
        <f t="shared" ref="Q383:R383" si="480">C365</f>
        <v>Dybstrøelse, lang ædeplads med fast gulv</v>
      </c>
      <c r="R383" s="352" t="str">
        <f t="shared" si="480"/>
        <v>dybstrøelse</v>
      </c>
      <c r="S383" s="561">
        <f t="shared" ref="S383:T383" si="481">E365*$P$374</f>
        <v>36.323613306320908</v>
      </c>
      <c r="T383" s="561">
        <f t="shared" si="481"/>
        <v>0</v>
      </c>
      <c r="U383" s="352">
        <f t="shared" ref="U383:W383" si="482">G365</f>
        <v>3.1</v>
      </c>
      <c r="V383" s="352">
        <f t="shared" si="482"/>
        <v>4.8088749999999996</v>
      </c>
      <c r="W383" s="352">
        <f t="shared" si="482"/>
        <v>913.68624999999986</v>
      </c>
      <c r="X383" s="142"/>
      <c r="Y383" s="561">
        <f t="shared" si="457"/>
        <v>269.07296188784443</v>
      </c>
      <c r="Z383" s="142"/>
      <c r="AA383" s="352" t="str">
        <f t="shared" si="458"/>
        <v>ato12i_Dybstrøelse, lang ædeplads med fast gulv - dybstrøelse</v>
      </c>
    </row>
    <row r="384" spans="3:27" x14ac:dyDescent="0.25">
      <c r="C384" s="311"/>
      <c r="D384" s="311"/>
      <c r="E384" s="311"/>
      <c r="F384" s="311"/>
      <c r="G384" s="311"/>
      <c r="H384" s="311"/>
      <c r="I384" s="311"/>
      <c r="J384" s="311"/>
      <c r="K384" s="311"/>
      <c r="O384" s="662"/>
      <c r="P384" s="663"/>
      <c r="Q384" s="352" t="str">
        <f t="shared" ref="Q384:R384" si="483">C366</f>
        <v>Dybstrøelse, lang ædeplads med fast gulv</v>
      </c>
      <c r="R384" s="352" t="str">
        <f t="shared" si="483"/>
        <v>gylle</v>
      </c>
      <c r="S384" s="561">
        <f t="shared" ref="S384:T384" si="484">E366*$P$374</f>
        <v>24.215742204213939</v>
      </c>
      <c r="T384" s="561">
        <f t="shared" si="484"/>
        <v>16.075130995137766</v>
      </c>
      <c r="U384" s="352">
        <f t="shared" ref="U384:W384" si="485">G366</f>
        <v>0</v>
      </c>
      <c r="V384" s="352">
        <f t="shared" si="485"/>
        <v>0</v>
      </c>
      <c r="W384" s="352">
        <f t="shared" si="485"/>
        <v>0</v>
      </c>
      <c r="X384" s="142"/>
      <c r="Y384" s="561">
        <f t="shared" si="457"/>
        <v>179.3819745918963</v>
      </c>
      <c r="Z384" s="142"/>
      <c r="AA384" s="352" t="str">
        <f t="shared" si="458"/>
        <v>ato12i_Dybstrøelse, lang ædeplads med fast gulv - gylle</v>
      </c>
    </row>
    <row r="385" spans="1:27" x14ac:dyDescent="0.25">
      <c r="C385" s="311"/>
      <c r="D385" s="311"/>
      <c r="E385" s="311"/>
      <c r="F385" s="311"/>
      <c r="G385" s="311"/>
      <c r="H385" s="311"/>
      <c r="I385" s="311"/>
      <c r="J385" s="311"/>
      <c r="K385" s="311"/>
      <c r="O385" s="662"/>
      <c r="P385" s="663"/>
      <c r="Q385" s="352" t="str">
        <f t="shared" ref="Q385:R385" si="486">C367</f>
        <v>Dybstrøelse, lang ædeplads med spalter (kanal, linespil)</v>
      </c>
      <c r="R385" s="352" t="str">
        <f t="shared" si="486"/>
        <v>dybstrøelse</v>
      </c>
      <c r="S385" s="561">
        <f t="shared" ref="S385:T385" si="487">E367*$P$374</f>
        <v>36.323613306320908</v>
      </c>
      <c r="T385" s="561">
        <f t="shared" si="487"/>
        <v>0</v>
      </c>
      <c r="U385" s="352">
        <f t="shared" ref="U385:W385" si="488">G367</f>
        <v>3.1</v>
      </c>
      <c r="V385" s="352">
        <f t="shared" si="488"/>
        <v>4.8088749999999996</v>
      </c>
      <c r="W385" s="352">
        <f t="shared" si="488"/>
        <v>913.68624999999986</v>
      </c>
      <c r="X385" s="142"/>
      <c r="Y385" s="561">
        <f t="shared" si="457"/>
        <v>269.07296188784443</v>
      </c>
      <c r="Z385" s="142"/>
      <c r="AA385" s="352" t="str">
        <f t="shared" si="458"/>
        <v>ato12i_Dybstrøelse, lang ædeplads med spalter (kanal, linespil) - dybstrøelse</v>
      </c>
    </row>
    <row r="386" spans="1:27" x14ac:dyDescent="0.25">
      <c r="C386" s="311"/>
      <c r="D386" s="311"/>
      <c r="E386" s="311"/>
      <c r="F386" s="311"/>
      <c r="G386" s="311"/>
      <c r="H386" s="311"/>
      <c r="I386" s="311"/>
      <c r="J386" s="311"/>
      <c r="K386" s="311"/>
      <c r="O386" s="662"/>
      <c r="P386" s="663"/>
      <c r="Q386" s="352" t="str">
        <f t="shared" ref="Q386:R386" si="489">C368</f>
        <v>Dybstrøelse, lang ædeplads med spalter (kanal, linespil)</v>
      </c>
      <c r="R386" s="352" t="str">
        <f t="shared" si="489"/>
        <v>gylle</v>
      </c>
      <c r="S386" s="561">
        <f t="shared" ref="S386:T386" si="490">E368*$P$374</f>
        <v>24.215742204213939</v>
      </c>
      <c r="T386" s="561">
        <f t="shared" si="490"/>
        <v>16.075130995137766</v>
      </c>
      <c r="U386" s="352">
        <f t="shared" ref="U386:W386" si="491">G368</f>
        <v>0</v>
      </c>
      <c r="V386" s="352">
        <f t="shared" si="491"/>
        <v>0</v>
      </c>
      <c r="W386" s="352">
        <f t="shared" si="491"/>
        <v>0</v>
      </c>
      <c r="X386" s="142"/>
      <c r="Y386" s="561">
        <f t="shared" si="457"/>
        <v>179.3819745918963</v>
      </c>
      <c r="Z386" s="142"/>
      <c r="AA386" s="352" t="str">
        <f t="shared" si="458"/>
        <v>ato12i_Dybstrøelse, lang ædeplads med spalter (kanal, linespil) - gylle</v>
      </c>
    </row>
    <row r="387" spans="1:27" x14ac:dyDescent="0.25">
      <c r="C387" s="311"/>
      <c r="D387" s="311"/>
      <c r="E387" s="311"/>
      <c r="F387" s="311"/>
      <c r="G387" s="311"/>
      <c r="H387" s="311"/>
      <c r="I387" s="311"/>
      <c r="J387" s="311"/>
      <c r="K387" s="311"/>
      <c r="O387" s="662"/>
      <c r="P387" s="663"/>
      <c r="Q387" s="352" t="str">
        <f t="shared" ref="Q387:R387" si="492">C369</f>
        <v>Dybstrøelse, lang ædeplads med spalter (kanal, bagskyl eller ringkanal)</v>
      </c>
      <c r="R387" s="352" t="str">
        <f t="shared" si="492"/>
        <v>dybstrøelse</v>
      </c>
      <c r="S387" s="561">
        <f t="shared" ref="S387:T387" si="493">E369*$P$374</f>
        <v>36.323613306320908</v>
      </c>
      <c r="T387" s="561">
        <f t="shared" si="493"/>
        <v>0</v>
      </c>
      <c r="U387" s="352">
        <f t="shared" ref="U387:W387" si="494">G369</f>
        <v>3.1</v>
      </c>
      <c r="V387" s="352">
        <f t="shared" si="494"/>
        <v>4.8088749999999996</v>
      </c>
      <c r="W387" s="352">
        <f t="shared" si="494"/>
        <v>913.68624999999986</v>
      </c>
      <c r="X387" s="142"/>
      <c r="Y387" s="561">
        <f t="shared" si="457"/>
        <v>269.07296188784443</v>
      </c>
      <c r="Z387" s="142"/>
      <c r="AA387" s="352" t="str">
        <f t="shared" si="458"/>
        <v>ato12i_Dybstrøelse, lang ædeplads med spalter (kanal, bagskyl eller ringkanal) - dybstrøelse</v>
      </c>
    </row>
    <row r="388" spans="1:27" x14ac:dyDescent="0.25">
      <c r="C388" s="311"/>
      <c r="D388" s="311"/>
      <c r="E388" s="311"/>
      <c r="F388" s="311"/>
      <c r="G388" s="311"/>
      <c r="H388" s="311"/>
      <c r="I388" s="311"/>
      <c r="J388" s="311"/>
      <c r="K388" s="311"/>
      <c r="O388" s="662"/>
      <c r="P388" s="663"/>
      <c r="Q388" s="352" t="str">
        <f t="shared" ref="Q388:R388" si="495">C370</f>
        <v>Dybstrøelse, lang ædeplads med spalter (kanal, bagskyl eller ringkanal)</v>
      </c>
      <c r="R388" s="352" t="str">
        <f t="shared" si="495"/>
        <v>gylle</v>
      </c>
      <c r="S388" s="561">
        <f t="shared" ref="S388:T388" si="496">E370*$P$374</f>
        <v>24.215742204213939</v>
      </c>
      <c r="T388" s="561">
        <f t="shared" si="496"/>
        <v>16.075130995137766</v>
      </c>
      <c r="U388" s="352">
        <f t="shared" ref="U388:W388" si="497">G370</f>
        <v>0</v>
      </c>
      <c r="V388" s="352">
        <f t="shared" si="497"/>
        <v>0</v>
      </c>
      <c r="W388" s="352">
        <f t="shared" si="497"/>
        <v>0</v>
      </c>
      <c r="X388" s="142"/>
      <c r="Y388" s="561">
        <f t="shared" si="457"/>
        <v>179.3819745918963</v>
      </c>
      <c r="Z388" s="142"/>
      <c r="AA388" s="352" t="str">
        <f t="shared" si="458"/>
        <v>ato12i_Dybstrøelse, lang ædeplads med spalter (kanal, bagskyl eller ringkanal) - gylle</v>
      </c>
    </row>
    <row r="389" spans="1:27" x14ac:dyDescent="0.25">
      <c r="C389" s="311"/>
      <c r="D389" s="311"/>
      <c r="E389" s="311"/>
      <c r="F389" s="311"/>
      <c r="G389" s="311"/>
      <c r="H389" s="311"/>
      <c r="I389" s="311"/>
      <c r="J389" s="311"/>
      <c r="K389" s="311"/>
      <c r="O389" s="662"/>
      <c r="P389" s="663"/>
      <c r="Q389" s="352" t="str">
        <f>C371</f>
        <v>Spaltegulvbokse</v>
      </c>
      <c r="R389" s="352" t="str">
        <f>D371</f>
        <v>gylle</v>
      </c>
      <c r="S389" s="561">
        <f>E371*$P$374</f>
        <v>60.539355510534847</v>
      </c>
      <c r="T389" s="561">
        <f>F371*$P$374</f>
        <v>40.187827487844409</v>
      </c>
      <c r="U389" s="352">
        <f>G371</f>
        <v>0</v>
      </c>
      <c r="V389" s="352">
        <f>H371</f>
        <v>0</v>
      </c>
      <c r="W389" s="352">
        <f>I371</f>
        <v>0</v>
      </c>
      <c r="X389" s="142"/>
      <c r="Y389" s="561">
        <f>K371*$P$374</f>
        <v>448.45493647974075</v>
      </c>
      <c r="Z389" s="142"/>
      <c r="AA389" s="352" t="str">
        <f>$O$374&amp;"_"&amp;Q389&amp;" - "&amp;R389</f>
        <v>ato12i_Spaltegulvbokse - gylle</v>
      </c>
    </row>
    <row r="390" spans="1:27" x14ac:dyDescent="0.25">
      <c r="A390" s="25"/>
      <c r="B390" s="14"/>
      <c r="C390" s="26" t="s">
        <v>50</v>
      </c>
      <c r="D390" s="14"/>
      <c r="E390" s="27"/>
      <c r="F390" s="28"/>
      <c r="H390" s="35"/>
      <c r="I390" s="39"/>
      <c r="J390" s="21"/>
      <c r="K390" s="18"/>
      <c r="O390" s="662" t="s">
        <v>210</v>
      </c>
      <c r="P390" s="663"/>
      <c r="Q390" s="352"/>
      <c r="R390" s="352"/>
      <c r="S390" s="236"/>
      <c r="T390" s="236"/>
      <c r="U390" s="352"/>
      <c r="V390" s="352"/>
      <c r="W390" s="352"/>
      <c r="Y390" s="236" t="s">
        <v>210</v>
      </c>
      <c r="AA390" s="352"/>
    </row>
    <row r="391" spans="1:27" x14ac:dyDescent="0.25">
      <c r="A391" s="21"/>
      <c r="C391" s="32" t="s">
        <v>53</v>
      </c>
      <c r="D391" s="41">
        <f>44/E391</f>
        <v>0.69182389937106914</v>
      </c>
      <c r="E391" s="33">
        <v>63.6</v>
      </c>
      <c r="F391" s="34">
        <f>E391*D391</f>
        <v>44</v>
      </c>
      <c r="H391" s="35"/>
      <c r="I391" s="39"/>
      <c r="J391" s="40">
        <v>7.35</v>
      </c>
      <c r="K391" s="37">
        <f>J391*1000*0.08*0.8</f>
        <v>470.40000000000003</v>
      </c>
      <c r="M391" t="str">
        <f>C390</f>
        <v>Ammekøer, 1 årsko 400-600 kg</v>
      </c>
      <c r="N391" s="134" t="str">
        <f>C390</f>
        <v>Ammekøer, 1 årsko 400-600 kg</v>
      </c>
      <c r="O391" s="662"/>
      <c r="P391" s="663"/>
      <c r="Q391" s="353" t="s">
        <v>475</v>
      </c>
      <c r="R391" s="354"/>
      <c r="S391" s="561">
        <f>E391*$P$392</f>
        <v>63.6</v>
      </c>
      <c r="T391" s="561">
        <f>F391*$P$392</f>
        <v>44</v>
      </c>
      <c r="U391" s="352"/>
      <c r="V391" s="352"/>
      <c r="W391" s="352"/>
      <c r="X391" s="142"/>
      <c r="Y391" s="561">
        <f>K391*$P$392</f>
        <v>470.40000000000003</v>
      </c>
      <c r="Z391" s="142"/>
      <c r="AA391" s="352"/>
    </row>
    <row r="392" spans="1:27" x14ac:dyDescent="0.25">
      <c r="A392" s="21">
        <v>1242</v>
      </c>
      <c r="B392">
        <v>1</v>
      </c>
      <c r="C392" t="s">
        <v>21</v>
      </c>
      <c r="D392" s="130" t="s">
        <v>32</v>
      </c>
      <c r="E392" s="132">
        <f>$E$391*0.6</f>
        <v>38.159999999999997</v>
      </c>
      <c r="F392" s="20">
        <f>$F$391*0.6</f>
        <v>26.4</v>
      </c>
      <c r="G392">
        <v>0.8</v>
      </c>
      <c r="H392" s="35">
        <f>G392*0.85*365*$H$5</f>
        <v>1.2410000000000001</v>
      </c>
      <c r="I392" s="39">
        <f t="shared" ref="I392:I405" si="498">G392*0.85*(1-0.05)*365</f>
        <v>235.79000000000002</v>
      </c>
      <c r="J392" s="21"/>
      <c r="K392" s="18"/>
      <c r="M392" t="str">
        <f>C392&amp;" - "&amp;D392</f>
        <v>Bindestald med grebning - fast gødning</v>
      </c>
      <c r="N392" s="195" t="s">
        <v>210</v>
      </c>
      <c r="O392" s="662" t="s">
        <v>305</v>
      </c>
      <c r="P392" s="663">
        <v>1</v>
      </c>
      <c r="Q392" s="352" t="str">
        <f>C392</f>
        <v>Bindestald med grebning</v>
      </c>
      <c r="R392" s="352" t="str">
        <f>D392</f>
        <v>fast gødning</v>
      </c>
      <c r="S392" s="561">
        <f>E392*$P$392</f>
        <v>38.159999999999997</v>
      </c>
      <c r="T392" s="561">
        <f>F392*$P$392</f>
        <v>26.4</v>
      </c>
      <c r="U392" s="352">
        <f t="shared" ref="U392" si="499">G392</f>
        <v>0.8</v>
      </c>
      <c r="V392" s="352">
        <f t="shared" ref="V392" si="500">H392</f>
        <v>1.2410000000000001</v>
      </c>
      <c r="W392" s="352">
        <f t="shared" ref="W392" si="501">I392</f>
        <v>235.79000000000002</v>
      </c>
      <c r="X392" s="142"/>
      <c r="Y392" s="561">
        <f>K392*$P$392</f>
        <v>0</v>
      </c>
      <c r="Z392" s="142"/>
      <c r="AA392" s="352" t="str">
        <f>$O$392&amp;"_"&amp;Q392&amp;" - "&amp;R392</f>
        <v>kke_Bindestald med grebning - fast gødning</v>
      </c>
    </row>
    <row r="393" spans="1:27" x14ac:dyDescent="0.25">
      <c r="A393" s="21">
        <v>1242</v>
      </c>
      <c r="B393">
        <v>1</v>
      </c>
      <c r="C393" t="s">
        <v>21</v>
      </c>
      <c r="D393" s="130" t="s">
        <v>33</v>
      </c>
      <c r="E393" s="132">
        <f>$E$391*0.4</f>
        <v>25.44</v>
      </c>
      <c r="F393" s="20">
        <f>$F$391*0.4</f>
        <v>17.600000000000001</v>
      </c>
      <c r="H393" s="35"/>
      <c r="I393" s="39">
        <f t="shared" si="498"/>
        <v>0</v>
      </c>
      <c r="J393" s="21"/>
      <c r="K393" s="18"/>
      <c r="M393" t="str">
        <f t="shared" ref="M393:M405" si="502">C393&amp;" - "&amp;D393</f>
        <v>Bindestald med grebning - ajle</v>
      </c>
      <c r="N393" s="195" t="s">
        <v>210</v>
      </c>
      <c r="O393" s="662" t="s">
        <v>210</v>
      </c>
      <c r="P393" s="663"/>
      <c r="Q393" s="352" t="str">
        <f t="shared" ref="Q393:Q405" si="503">C393</f>
        <v>Bindestald med grebning</v>
      </c>
      <c r="R393" s="352" t="str">
        <f t="shared" ref="R393:R405" si="504">D393</f>
        <v>ajle</v>
      </c>
      <c r="S393" s="561">
        <f t="shared" ref="S393:S405" si="505">E393*$P$392</f>
        <v>25.44</v>
      </c>
      <c r="T393" s="561">
        <f t="shared" ref="T393:T405" si="506">F393*$P$392</f>
        <v>17.600000000000001</v>
      </c>
      <c r="U393" s="352">
        <f t="shared" ref="U393:U405" si="507">G393</f>
        <v>0</v>
      </c>
      <c r="V393" s="352">
        <f t="shared" ref="V393:V405" si="508">H393</f>
        <v>0</v>
      </c>
      <c r="W393" s="352">
        <f t="shared" ref="W393:W405" si="509">I393</f>
        <v>0</v>
      </c>
      <c r="X393" s="142"/>
      <c r="Y393" s="561">
        <f t="shared" ref="Y393:Y405" si="510">K393*$P$392</f>
        <v>0</v>
      </c>
      <c r="Z393" s="142"/>
      <c r="AA393" s="352" t="str">
        <f t="shared" ref="AA393:AA405" si="511">$O$392&amp;"_"&amp;Q393&amp;" - "&amp;R393</f>
        <v>kke_Bindestald med grebning - ajle</v>
      </c>
    </row>
    <row r="394" spans="1:27" x14ac:dyDescent="0.25">
      <c r="A394" s="21">
        <v>1242</v>
      </c>
      <c r="B394">
        <v>2</v>
      </c>
      <c r="C394" t="s">
        <v>22</v>
      </c>
      <c r="D394" t="s">
        <v>23</v>
      </c>
      <c r="E394" s="132">
        <f t="shared" ref="E394:E399" si="512">$E$391</f>
        <v>63.6</v>
      </c>
      <c r="F394" s="20">
        <f>$F$391</f>
        <v>44</v>
      </c>
      <c r="G394">
        <v>0.8</v>
      </c>
      <c r="H394" s="35">
        <f t="shared" ref="H394:H400" si="513">G394*0.85*365*$H$5</f>
        <v>1.2410000000000001</v>
      </c>
      <c r="I394" s="39">
        <f t="shared" si="498"/>
        <v>235.79000000000002</v>
      </c>
      <c r="J394" s="21"/>
      <c r="K394" s="20">
        <f t="shared" ref="K394:K399" si="514">$K$391</f>
        <v>470.40000000000003</v>
      </c>
      <c r="M394" t="str">
        <f t="shared" si="502"/>
        <v>Bindestald med riste - gylle</v>
      </c>
      <c r="N394" s="195" t="s">
        <v>210</v>
      </c>
      <c r="O394" s="662" t="s">
        <v>210</v>
      </c>
      <c r="P394" s="663"/>
      <c r="Q394" s="352" t="str">
        <f t="shared" si="503"/>
        <v>Bindestald med riste</v>
      </c>
      <c r="R394" s="352" t="str">
        <f t="shared" si="504"/>
        <v>gylle</v>
      </c>
      <c r="S394" s="561">
        <f t="shared" si="505"/>
        <v>63.6</v>
      </c>
      <c r="T394" s="561">
        <f t="shared" si="506"/>
        <v>44</v>
      </c>
      <c r="U394" s="352">
        <f t="shared" si="507"/>
        <v>0.8</v>
      </c>
      <c r="V394" s="352">
        <f t="shared" si="508"/>
        <v>1.2410000000000001</v>
      </c>
      <c r="W394" s="352">
        <f t="shared" si="509"/>
        <v>235.79000000000002</v>
      </c>
      <c r="X394" s="142"/>
      <c r="Y394" s="561">
        <f t="shared" si="510"/>
        <v>470.40000000000003</v>
      </c>
      <c r="Z394" s="142"/>
      <c r="AA394" s="352" t="str">
        <f t="shared" si="511"/>
        <v>kke_Bindestald med riste - gylle</v>
      </c>
    </row>
    <row r="395" spans="1:27" x14ac:dyDescent="0.25">
      <c r="A395" s="21">
        <v>1242</v>
      </c>
      <c r="B395">
        <v>9</v>
      </c>
      <c r="C395" t="s">
        <v>38</v>
      </c>
      <c r="D395" t="s">
        <v>23</v>
      </c>
      <c r="E395" s="132">
        <f t="shared" si="512"/>
        <v>63.6</v>
      </c>
      <c r="F395" s="20">
        <f>$F$391</f>
        <v>44</v>
      </c>
      <c r="G395">
        <v>0.3</v>
      </c>
      <c r="H395" s="35">
        <f t="shared" si="513"/>
        <v>0.46537500000000004</v>
      </c>
      <c r="I395" s="39">
        <f t="shared" si="498"/>
        <v>88.421250000000001</v>
      </c>
      <c r="J395" s="21"/>
      <c r="K395" s="20">
        <f t="shared" si="514"/>
        <v>470.40000000000003</v>
      </c>
      <c r="M395" t="str">
        <f t="shared" si="502"/>
        <v>Sengestald med spaltegulv (kanal, line- spil) - gylle</v>
      </c>
      <c r="N395" s="195" t="s">
        <v>210</v>
      </c>
      <c r="O395" s="662" t="s">
        <v>210</v>
      </c>
      <c r="P395" s="663"/>
      <c r="Q395" s="352" t="str">
        <f t="shared" si="503"/>
        <v>Sengestald med spaltegulv (kanal, line- spil)</v>
      </c>
      <c r="R395" s="352" t="str">
        <f t="shared" si="504"/>
        <v>gylle</v>
      </c>
      <c r="S395" s="561">
        <f t="shared" si="505"/>
        <v>63.6</v>
      </c>
      <c r="T395" s="561">
        <f t="shared" si="506"/>
        <v>44</v>
      </c>
      <c r="U395" s="352">
        <f t="shared" si="507"/>
        <v>0.3</v>
      </c>
      <c r="V395" s="352">
        <f t="shared" si="508"/>
        <v>0.46537500000000004</v>
      </c>
      <c r="W395" s="352">
        <f t="shared" si="509"/>
        <v>88.421250000000001</v>
      </c>
      <c r="X395" s="142"/>
      <c r="Y395" s="561">
        <f t="shared" si="510"/>
        <v>470.40000000000003</v>
      </c>
      <c r="Z395" s="142"/>
      <c r="AA395" s="352" t="str">
        <f t="shared" si="511"/>
        <v>kke_Sengestald med spaltegulv (kanal, line- spil) - gylle</v>
      </c>
    </row>
    <row r="396" spans="1:27" x14ac:dyDescent="0.25">
      <c r="A396" s="21">
        <v>1242</v>
      </c>
      <c r="B396">
        <v>10</v>
      </c>
      <c r="C396" t="s">
        <v>39</v>
      </c>
      <c r="D396" t="s">
        <v>23</v>
      </c>
      <c r="E396" s="132">
        <f t="shared" si="512"/>
        <v>63.6</v>
      </c>
      <c r="F396" s="20">
        <f>$F$391</f>
        <v>44</v>
      </c>
      <c r="G396">
        <v>0.3</v>
      </c>
      <c r="H396" s="35">
        <f t="shared" si="513"/>
        <v>0.46537500000000004</v>
      </c>
      <c r="I396" s="39">
        <f t="shared" si="498"/>
        <v>88.421250000000001</v>
      </c>
      <c r="J396" s="21"/>
      <c r="K396" s="20">
        <f t="shared" si="514"/>
        <v>470.40000000000003</v>
      </c>
      <c r="M396" t="str">
        <f t="shared" si="502"/>
        <v>Sengestald med spaltegulv (kanal, bagskyl eller ringkanal) - gylle</v>
      </c>
      <c r="N396" s="195" t="s">
        <v>210</v>
      </c>
      <c r="O396" s="662" t="s">
        <v>210</v>
      </c>
      <c r="P396" s="663"/>
      <c r="Q396" s="352" t="str">
        <f t="shared" si="503"/>
        <v>Sengestald med spaltegulv (kanal, bagskyl eller ringkanal)</v>
      </c>
      <c r="R396" s="352" t="str">
        <f t="shared" si="504"/>
        <v>gylle</v>
      </c>
      <c r="S396" s="561">
        <f t="shared" si="505"/>
        <v>63.6</v>
      </c>
      <c r="T396" s="561">
        <f t="shared" si="506"/>
        <v>44</v>
      </c>
      <c r="U396" s="352">
        <f t="shared" si="507"/>
        <v>0.3</v>
      </c>
      <c r="V396" s="352">
        <f t="shared" si="508"/>
        <v>0.46537500000000004</v>
      </c>
      <c r="W396" s="352">
        <f t="shared" si="509"/>
        <v>88.421250000000001</v>
      </c>
      <c r="X396" s="142"/>
      <c r="Y396" s="561">
        <f t="shared" si="510"/>
        <v>470.40000000000003</v>
      </c>
      <c r="Z396" s="142"/>
      <c r="AA396" s="352" t="str">
        <f t="shared" si="511"/>
        <v>kke_Sengestald med spaltegulv (kanal, bagskyl eller ringkanal) - gylle</v>
      </c>
    </row>
    <row r="397" spans="1:27" x14ac:dyDescent="0.25">
      <c r="A397" s="21">
        <v>1242</v>
      </c>
      <c r="B397">
        <v>11</v>
      </c>
      <c r="C397" t="s">
        <v>42</v>
      </c>
      <c r="D397" t="s">
        <v>23</v>
      </c>
      <c r="E397" s="132">
        <f t="shared" si="512"/>
        <v>63.6</v>
      </c>
      <c r="F397" s="20">
        <f>$F$391</f>
        <v>44</v>
      </c>
      <c r="G397">
        <v>0.3</v>
      </c>
      <c r="H397" s="35">
        <f t="shared" si="513"/>
        <v>0.46537500000000004</v>
      </c>
      <c r="I397" s="39">
        <f t="shared" si="498"/>
        <v>88.421250000000001</v>
      </c>
      <c r="J397" s="21"/>
      <c r="K397" s="20">
        <f t="shared" si="514"/>
        <v>470.40000000000003</v>
      </c>
      <c r="M397" t="str">
        <f t="shared" si="502"/>
        <v>Sengestald, fast drænet gulv med skra- ber og ajleafløb *) - gylle</v>
      </c>
      <c r="N397" s="195" t="s">
        <v>210</v>
      </c>
      <c r="O397" s="662" t="s">
        <v>210</v>
      </c>
      <c r="P397" s="663"/>
      <c r="Q397" s="352" t="str">
        <f t="shared" si="503"/>
        <v>Sengestald, fast drænet gulv med skra- ber og ajleafløb *)</v>
      </c>
      <c r="R397" s="352" t="str">
        <f t="shared" si="504"/>
        <v>gylle</v>
      </c>
      <c r="S397" s="561">
        <f t="shared" si="505"/>
        <v>63.6</v>
      </c>
      <c r="T397" s="561">
        <f t="shared" si="506"/>
        <v>44</v>
      </c>
      <c r="U397" s="352">
        <f t="shared" si="507"/>
        <v>0.3</v>
      </c>
      <c r="V397" s="352">
        <f t="shared" si="508"/>
        <v>0.46537500000000004</v>
      </c>
      <c r="W397" s="352">
        <f t="shared" si="509"/>
        <v>88.421250000000001</v>
      </c>
      <c r="X397" s="142"/>
      <c r="Y397" s="561">
        <f t="shared" si="510"/>
        <v>470.40000000000003</v>
      </c>
      <c r="Z397" s="142"/>
      <c r="AA397" s="352" t="str">
        <f t="shared" si="511"/>
        <v>kke_Sengestald, fast drænet gulv med skra- ber og ajleafløb *) - gylle</v>
      </c>
    </row>
    <row r="398" spans="1:27" x14ac:dyDescent="0.25">
      <c r="A398" s="21">
        <v>1242</v>
      </c>
      <c r="B398">
        <v>3</v>
      </c>
      <c r="C398" t="s">
        <v>40</v>
      </c>
      <c r="D398" t="s">
        <v>27</v>
      </c>
      <c r="E398" s="132">
        <f t="shared" si="512"/>
        <v>63.6</v>
      </c>
      <c r="F398" s="20"/>
      <c r="G398">
        <v>8</v>
      </c>
      <c r="H398" s="35">
        <f t="shared" si="513"/>
        <v>12.41</v>
      </c>
      <c r="I398" s="39">
        <f t="shared" si="498"/>
        <v>2357.9</v>
      </c>
      <c r="J398" s="21"/>
      <c r="K398" s="20">
        <f t="shared" si="514"/>
        <v>470.40000000000003</v>
      </c>
      <c r="M398" t="str">
        <f t="shared" si="502"/>
        <v>Dybstrøelse, hele arealet - dybstrøelse</v>
      </c>
      <c r="N398" s="195" t="s">
        <v>210</v>
      </c>
      <c r="O398" s="662" t="s">
        <v>210</v>
      </c>
      <c r="P398" s="663"/>
      <c r="Q398" s="352" t="str">
        <f t="shared" si="503"/>
        <v>Dybstrøelse, hele arealet</v>
      </c>
      <c r="R398" s="352" t="str">
        <f t="shared" si="504"/>
        <v>dybstrøelse</v>
      </c>
      <c r="S398" s="561">
        <f t="shared" si="505"/>
        <v>63.6</v>
      </c>
      <c r="T398" s="561">
        <f t="shared" si="506"/>
        <v>0</v>
      </c>
      <c r="U398" s="352">
        <f t="shared" si="507"/>
        <v>8</v>
      </c>
      <c r="V398" s="352">
        <f t="shared" si="508"/>
        <v>12.41</v>
      </c>
      <c r="W398" s="352">
        <f t="shared" si="509"/>
        <v>2357.9</v>
      </c>
      <c r="X398" s="142"/>
      <c r="Y398" s="561">
        <f t="shared" si="510"/>
        <v>470.40000000000003</v>
      </c>
      <c r="Z398" s="142"/>
      <c r="AA398" s="352" t="str">
        <f t="shared" si="511"/>
        <v>kke_Dybstrøelse, hele arealet - dybstrøelse</v>
      </c>
    </row>
    <row r="399" spans="1:27" x14ac:dyDescent="0.25">
      <c r="A399" s="21">
        <v>1242</v>
      </c>
      <c r="B399">
        <v>4</v>
      </c>
      <c r="C399" t="s">
        <v>36</v>
      </c>
      <c r="D399" s="130" t="s">
        <v>27</v>
      </c>
      <c r="E399" s="132">
        <f t="shared" si="512"/>
        <v>63.6</v>
      </c>
      <c r="F399" s="20"/>
      <c r="G399">
        <v>7</v>
      </c>
      <c r="H399" s="35">
        <f t="shared" si="513"/>
        <v>10.858750000000001</v>
      </c>
      <c r="I399" s="39">
        <f t="shared" si="498"/>
        <v>2063.1624999999999</v>
      </c>
      <c r="J399" s="21"/>
      <c r="K399" s="20">
        <f t="shared" si="514"/>
        <v>470.40000000000003</v>
      </c>
      <c r="M399" t="str">
        <f t="shared" si="502"/>
        <v>Dybstrøelse + kort ædeplads med fast gulv - dybstrøelse</v>
      </c>
      <c r="N399" s="195" t="s">
        <v>210</v>
      </c>
      <c r="O399" s="662" t="s">
        <v>210</v>
      </c>
      <c r="P399" s="663"/>
      <c r="Q399" s="352" t="str">
        <f t="shared" si="503"/>
        <v>Dybstrøelse + kort ædeplads med fast gulv</v>
      </c>
      <c r="R399" s="352" t="str">
        <f t="shared" si="504"/>
        <v>dybstrøelse</v>
      </c>
      <c r="S399" s="561">
        <f t="shared" si="505"/>
        <v>63.6</v>
      </c>
      <c r="T399" s="561">
        <f t="shared" si="506"/>
        <v>0</v>
      </c>
      <c r="U399" s="352">
        <f t="shared" si="507"/>
        <v>7</v>
      </c>
      <c r="V399" s="352">
        <f t="shared" si="508"/>
        <v>10.858750000000001</v>
      </c>
      <c r="W399" s="352">
        <f t="shared" si="509"/>
        <v>2063.1624999999999</v>
      </c>
      <c r="X399" s="142"/>
      <c r="Y399" s="561">
        <f t="shared" si="510"/>
        <v>470.40000000000003</v>
      </c>
      <c r="Z399" s="142"/>
      <c r="AA399" s="352" t="str">
        <f t="shared" si="511"/>
        <v>kke_Dybstrøelse + kort ædeplads med fast gulv - dybstrøelse</v>
      </c>
    </row>
    <row r="400" spans="1:27" x14ac:dyDescent="0.25">
      <c r="A400" s="21">
        <v>1242</v>
      </c>
      <c r="B400">
        <v>5</v>
      </c>
      <c r="C400" t="s">
        <v>28</v>
      </c>
      <c r="D400" s="130" t="s">
        <v>27</v>
      </c>
      <c r="E400" s="132">
        <f>$E$391*0.6</f>
        <v>38.159999999999997</v>
      </c>
      <c r="F400" s="20"/>
      <c r="G400">
        <v>6</v>
      </c>
      <c r="H400" s="35">
        <f t="shared" si="513"/>
        <v>9.3074999999999992</v>
      </c>
      <c r="I400" s="39">
        <f t="shared" si="498"/>
        <v>1768.425</v>
      </c>
      <c r="J400" s="21"/>
      <c r="K400" s="20">
        <f>$K$391*0.6</f>
        <v>282.24</v>
      </c>
      <c r="M400" t="str">
        <f t="shared" si="502"/>
        <v>Dybstrøelse, lang ædeplads med fast gulv - dybstrøelse</v>
      </c>
      <c r="N400" s="195" t="s">
        <v>210</v>
      </c>
      <c r="O400" s="662" t="s">
        <v>210</v>
      </c>
      <c r="P400" s="663"/>
      <c r="Q400" s="352" t="str">
        <f t="shared" si="503"/>
        <v>Dybstrøelse, lang ædeplads med fast gulv</v>
      </c>
      <c r="R400" s="352" t="str">
        <f t="shared" si="504"/>
        <v>dybstrøelse</v>
      </c>
      <c r="S400" s="561">
        <f t="shared" si="505"/>
        <v>38.159999999999997</v>
      </c>
      <c r="T400" s="561">
        <f t="shared" si="506"/>
        <v>0</v>
      </c>
      <c r="U400" s="352">
        <f t="shared" si="507"/>
        <v>6</v>
      </c>
      <c r="V400" s="352">
        <f t="shared" si="508"/>
        <v>9.3074999999999992</v>
      </c>
      <c r="W400" s="352">
        <f t="shared" si="509"/>
        <v>1768.425</v>
      </c>
      <c r="X400" s="142"/>
      <c r="Y400" s="561">
        <f t="shared" si="510"/>
        <v>282.24</v>
      </c>
      <c r="Z400" s="142"/>
      <c r="AA400" s="352" t="str">
        <f t="shared" si="511"/>
        <v>kke_Dybstrøelse, lang ædeplads med fast gulv - dybstrøelse</v>
      </c>
    </row>
    <row r="401" spans="1:27" x14ac:dyDescent="0.25">
      <c r="A401" s="21">
        <v>1242</v>
      </c>
      <c r="B401">
        <v>5</v>
      </c>
      <c r="C401" t="s">
        <v>28</v>
      </c>
      <c r="D401" s="130" t="s">
        <v>23</v>
      </c>
      <c r="E401" s="132">
        <f>$E$391*0.4</f>
        <v>25.44</v>
      </c>
      <c r="F401" s="20">
        <f>$F$391*0.4</f>
        <v>17.600000000000001</v>
      </c>
      <c r="H401" s="35"/>
      <c r="I401" s="39">
        <f t="shared" si="498"/>
        <v>0</v>
      </c>
      <c r="J401" s="21"/>
      <c r="K401" s="20">
        <f>$K$391*0.4</f>
        <v>188.16000000000003</v>
      </c>
      <c r="M401" t="str">
        <f t="shared" si="502"/>
        <v>Dybstrøelse, lang ædeplads med fast gulv - gylle</v>
      </c>
      <c r="N401" s="195" t="s">
        <v>210</v>
      </c>
      <c r="O401" s="662" t="s">
        <v>210</v>
      </c>
      <c r="P401" s="663"/>
      <c r="Q401" s="352" t="str">
        <f t="shared" si="503"/>
        <v>Dybstrøelse, lang ædeplads med fast gulv</v>
      </c>
      <c r="R401" s="352" t="str">
        <f t="shared" si="504"/>
        <v>gylle</v>
      </c>
      <c r="S401" s="561">
        <f t="shared" si="505"/>
        <v>25.44</v>
      </c>
      <c r="T401" s="561">
        <f t="shared" si="506"/>
        <v>17.600000000000001</v>
      </c>
      <c r="U401" s="352">
        <f t="shared" si="507"/>
        <v>0</v>
      </c>
      <c r="V401" s="352">
        <f t="shared" si="508"/>
        <v>0</v>
      </c>
      <c r="W401" s="352">
        <f t="shared" si="509"/>
        <v>0</v>
      </c>
      <c r="X401" s="142"/>
      <c r="Y401" s="561">
        <f t="shared" si="510"/>
        <v>188.16000000000003</v>
      </c>
      <c r="Z401" s="142"/>
      <c r="AA401" s="352" t="str">
        <f t="shared" si="511"/>
        <v>kke_Dybstrøelse, lang ædeplads med fast gulv - gylle</v>
      </c>
    </row>
    <row r="402" spans="1:27" x14ac:dyDescent="0.25">
      <c r="A402" s="21">
        <v>1242</v>
      </c>
      <c r="B402">
        <v>6</v>
      </c>
      <c r="C402" t="s">
        <v>29</v>
      </c>
      <c r="D402" s="130" t="s">
        <v>27</v>
      </c>
      <c r="E402" s="132">
        <f>$E$391*0.6</f>
        <v>38.159999999999997</v>
      </c>
      <c r="F402" s="20"/>
      <c r="G402">
        <v>6</v>
      </c>
      <c r="H402" s="35">
        <f>G402*0.85*365*$H$5</f>
        <v>9.3074999999999992</v>
      </c>
      <c r="I402" s="39">
        <f t="shared" si="498"/>
        <v>1768.425</v>
      </c>
      <c r="J402" s="21"/>
      <c r="K402" s="20">
        <f>$K$391*0.6</f>
        <v>282.24</v>
      </c>
      <c r="M402" t="str">
        <f t="shared" si="502"/>
        <v>Dybstrøelse, lang ædeplads med spalter (kanal, linespil) - dybstrøelse</v>
      </c>
      <c r="N402" s="195" t="s">
        <v>210</v>
      </c>
      <c r="O402" s="662" t="s">
        <v>210</v>
      </c>
      <c r="P402" s="663"/>
      <c r="Q402" s="352" t="str">
        <f t="shared" si="503"/>
        <v>Dybstrøelse, lang ædeplads med spalter (kanal, linespil)</v>
      </c>
      <c r="R402" s="352" t="str">
        <f t="shared" si="504"/>
        <v>dybstrøelse</v>
      </c>
      <c r="S402" s="561">
        <f t="shared" si="505"/>
        <v>38.159999999999997</v>
      </c>
      <c r="T402" s="561">
        <f t="shared" si="506"/>
        <v>0</v>
      </c>
      <c r="U402" s="352">
        <f t="shared" si="507"/>
        <v>6</v>
      </c>
      <c r="V402" s="352">
        <f t="shared" si="508"/>
        <v>9.3074999999999992</v>
      </c>
      <c r="W402" s="352">
        <f t="shared" si="509"/>
        <v>1768.425</v>
      </c>
      <c r="X402" s="142"/>
      <c r="Y402" s="561">
        <f t="shared" si="510"/>
        <v>282.24</v>
      </c>
      <c r="Z402" s="142"/>
      <c r="AA402" s="352" t="str">
        <f t="shared" si="511"/>
        <v>kke_Dybstrøelse, lang ædeplads med spalter (kanal, linespil) - dybstrøelse</v>
      </c>
    </row>
    <row r="403" spans="1:27" x14ac:dyDescent="0.25">
      <c r="A403" s="21">
        <v>1242</v>
      </c>
      <c r="B403">
        <v>6</v>
      </c>
      <c r="C403" t="s">
        <v>29</v>
      </c>
      <c r="D403" s="130" t="s">
        <v>23</v>
      </c>
      <c r="E403" s="132">
        <f>$E$391*0.4</f>
        <v>25.44</v>
      </c>
      <c r="F403" s="20">
        <f>$F$391*0.4</f>
        <v>17.600000000000001</v>
      </c>
      <c r="H403" s="35"/>
      <c r="I403" s="39">
        <f t="shared" si="498"/>
        <v>0</v>
      </c>
      <c r="J403" s="21"/>
      <c r="K403" s="20">
        <f>$K$391*0.4</f>
        <v>188.16000000000003</v>
      </c>
      <c r="M403" t="str">
        <f t="shared" si="502"/>
        <v>Dybstrøelse, lang ædeplads med spalter (kanal, linespil) - gylle</v>
      </c>
      <c r="N403" s="195" t="s">
        <v>210</v>
      </c>
      <c r="O403" s="662" t="s">
        <v>210</v>
      </c>
      <c r="P403" s="663"/>
      <c r="Q403" s="352" t="str">
        <f t="shared" si="503"/>
        <v>Dybstrøelse, lang ædeplads med spalter (kanal, linespil)</v>
      </c>
      <c r="R403" s="352" t="str">
        <f t="shared" si="504"/>
        <v>gylle</v>
      </c>
      <c r="S403" s="561">
        <f t="shared" si="505"/>
        <v>25.44</v>
      </c>
      <c r="T403" s="561">
        <f t="shared" si="506"/>
        <v>17.600000000000001</v>
      </c>
      <c r="U403" s="352">
        <f t="shared" si="507"/>
        <v>0</v>
      </c>
      <c r="V403" s="352">
        <f t="shared" si="508"/>
        <v>0</v>
      </c>
      <c r="W403" s="352">
        <f t="shared" si="509"/>
        <v>0</v>
      </c>
      <c r="X403" s="142"/>
      <c r="Y403" s="561">
        <f t="shared" si="510"/>
        <v>188.16000000000003</v>
      </c>
      <c r="Z403" s="142"/>
      <c r="AA403" s="352" t="str">
        <f t="shared" si="511"/>
        <v>kke_Dybstrøelse, lang ædeplads med spalter (kanal, linespil) - gylle</v>
      </c>
    </row>
    <row r="404" spans="1:27" x14ac:dyDescent="0.25">
      <c r="A404" s="21">
        <v>1242</v>
      </c>
      <c r="B404">
        <v>7</v>
      </c>
      <c r="C404" t="s">
        <v>30</v>
      </c>
      <c r="D404" s="130" t="s">
        <v>27</v>
      </c>
      <c r="E404" s="132">
        <f>$E$391*0.6</f>
        <v>38.159999999999997</v>
      </c>
      <c r="F404" s="20"/>
      <c r="G404">
        <v>6</v>
      </c>
      <c r="H404" s="35">
        <f>G404*0.85*365*$H$5</f>
        <v>9.3074999999999992</v>
      </c>
      <c r="I404" s="39">
        <f t="shared" si="498"/>
        <v>1768.425</v>
      </c>
      <c r="J404" s="21"/>
      <c r="K404" s="20">
        <f>$K$391*0.6</f>
        <v>282.24</v>
      </c>
      <c r="M404" t="str">
        <f t="shared" si="502"/>
        <v>Dybstrøelse, lang ædeplads med spalter (kanal, bagskyl eller ringkanal) - dybstrøelse</v>
      </c>
      <c r="N404" s="195" t="s">
        <v>210</v>
      </c>
      <c r="O404" s="662" t="s">
        <v>210</v>
      </c>
      <c r="P404" s="663"/>
      <c r="Q404" s="352" t="str">
        <f t="shared" si="503"/>
        <v>Dybstrøelse, lang ædeplads med spalter (kanal, bagskyl eller ringkanal)</v>
      </c>
      <c r="R404" s="352" t="str">
        <f t="shared" si="504"/>
        <v>dybstrøelse</v>
      </c>
      <c r="S404" s="561">
        <f t="shared" si="505"/>
        <v>38.159999999999997</v>
      </c>
      <c r="T404" s="561">
        <f t="shared" si="506"/>
        <v>0</v>
      </c>
      <c r="U404" s="352">
        <f t="shared" si="507"/>
        <v>6</v>
      </c>
      <c r="V404" s="352">
        <f t="shared" si="508"/>
        <v>9.3074999999999992</v>
      </c>
      <c r="W404" s="352">
        <f t="shared" si="509"/>
        <v>1768.425</v>
      </c>
      <c r="X404" s="142"/>
      <c r="Y404" s="561">
        <f t="shared" si="510"/>
        <v>282.24</v>
      </c>
      <c r="Z404" s="142"/>
      <c r="AA404" s="352" t="str">
        <f t="shared" si="511"/>
        <v>kke_Dybstrøelse, lang ædeplads med spalter (kanal, bagskyl eller ringkanal) - dybstrøelse</v>
      </c>
    </row>
    <row r="405" spans="1:27" x14ac:dyDescent="0.25">
      <c r="A405" s="21">
        <v>1242</v>
      </c>
      <c r="B405">
        <v>7</v>
      </c>
      <c r="C405" t="s">
        <v>30</v>
      </c>
      <c r="D405" s="130" t="s">
        <v>23</v>
      </c>
      <c r="E405" s="132">
        <f>$E$391*0.4</f>
        <v>25.44</v>
      </c>
      <c r="F405" s="20">
        <f>$F$391*0.4</f>
        <v>17.600000000000001</v>
      </c>
      <c r="H405" s="35"/>
      <c r="I405" s="39">
        <f t="shared" si="498"/>
        <v>0</v>
      </c>
      <c r="J405" s="21"/>
      <c r="K405" s="20">
        <f>$K$391*0.4</f>
        <v>188.16000000000003</v>
      </c>
      <c r="M405" t="str">
        <f t="shared" si="502"/>
        <v>Dybstrøelse, lang ædeplads med spalter (kanal, bagskyl eller ringkanal) - gylle</v>
      </c>
      <c r="N405" s="195" t="s">
        <v>210</v>
      </c>
      <c r="O405" s="662" t="s">
        <v>210</v>
      </c>
      <c r="P405" s="663"/>
      <c r="Q405" s="352" t="str">
        <f t="shared" si="503"/>
        <v>Dybstrøelse, lang ædeplads med spalter (kanal, bagskyl eller ringkanal)</v>
      </c>
      <c r="R405" s="352" t="str">
        <f t="shared" si="504"/>
        <v>gylle</v>
      </c>
      <c r="S405" s="561">
        <f t="shared" si="505"/>
        <v>25.44</v>
      </c>
      <c r="T405" s="561">
        <f t="shared" si="506"/>
        <v>17.600000000000001</v>
      </c>
      <c r="U405" s="352">
        <f t="shared" si="507"/>
        <v>0</v>
      </c>
      <c r="V405" s="352">
        <f t="shared" si="508"/>
        <v>0</v>
      </c>
      <c r="W405" s="352">
        <f t="shared" si="509"/>
        <v>0</v>
      </c>
      <c r="X405" s="142"/>
      <c r="Y405" s="561">
        <f t="shared" si="510"/>
        <v>188.16000000000003</v>
      </c>
      <c r="Z405" s="142"/>
      <c r="AA405" s="352" t="str">
        <f t="shared" si="511"/>
        <v>kke_Dybstrøelse, lang ædeplads med spalter (kanal, bagskyl eller ringkanal) - gylle</v>
      </c>
    </row>
    <row r="406" spans="1:27" x14ac:dyDescent="0.25">
      <c r="C406" s="342" t="str">
        <f>C151</f>
        <v>Årsopdræt, 0-6 mdr., småkalv, Jersey</v>
      </c>
      <c r="D406" s="311"/>
      <c r="E406" s="311"/>
      <c r="F406" s="311"/>
      <c r="G406" s="311"/>
      <c r="H406" s="311"/>
      <c r="I406" s="311"/>
      <c r="J406" s="311"/>
      <c r="K406" s="311"/>
      <c r="N406" s="195" t="s">
        <v>210</v>
      </c>
      <c r="O406" s="662"/>
      <c r="P406" s="663"/>
      <c r="Q406" s="352"/>
      <c r="R406" s="352"/>
      <c r="S406" s="236"/>
      <c r="T406" s="236"/>
      <c r="U406" s="352"/>
      <c r="V406" s="352"/>
      <c r="W406" s="352"/>
      <c r="Y406" s="236"/>
      <c r="AA406" s="352"/>
    </row>
    <row r="407" spans="1:27" x14ac:dyDescent="0.25">
      <c r="C407" s="311" t="str">
        <f t="shared" ref="C407:K409" si="515">C152</f>
        <v>Normtal</v>
      </c>
      <c r="D407" s="311">
        <f t="shared" si="515"/>
        <v>0.71</v>
      </c>
      <c r="E407" s="311">
        <f t="shared" si="515"/>
        <v>20</v>
      </c>
      <c r="F407" s="311">
        <f t="shared" si="515"/>
        <v>14.2</v>
      </c>
      <c r="G407" s="311">
        <f t="shared" si="515"/>
        <v>0</v>
      </c>
      <c r="H407" s="311">
        <f t="shared" si="515"/>
        <v>0</v>
      </c>
      <c r="I407" s="311">
        <f t="shared" si="515"/>
        <v>0</v>
      </c>
      <c r="J407" s="311">
        <f t="shared" si="515"/>
        <v>1.84</v>
      </c>
      <c r="K407" s="311">
        <f t="shared" si="515"/>
        <v>117.76000000000002</v>
      </c>
      <c r="N407" s="134" t="str">
        <f>C406</f>
        <v>Årsopdræt, 0-6 mdr., småkalv, Jersey</v>
      </c>
      <c r="O407" s="662"/>
      <c r="P407" s="663"/>
      <c r="Q407" s="353" t="s">
        <v>476</v>
      </c>
      <c r="R407" s="354"/>
      <c r="S407" s="561">
        <f t="shared" ref="S407:T409" si="516">E407*$P$408</f>
        <v>20</v>
      </c>
      <c r="T407" s="561">
        <f t="shared" si="516"/>
        <v>14.2</v>
      </c>
      <c r="U407" s="352"/>
      <c r="V407" s="352"/>
      <c r="W407" s="352"/>
      <c r="X407" s="142"/>
      <c r="Y407" s="561">
        <f>K407*$P$408</f>
        <v>117.76000000000002</v>
      </c>
      <c r="Z407" s="142"/>
      <c r="AA407" s="352"/>
    </row>
    <row r="408" spans="1:27" x14ac:dyDescent="0.25">
      <c r="C408" s="311" t="str">
        <f t="shared" si="515"/>
        <v>Dybstrøelse (hele arealet)</v>
      </c>
      <c r="D408" s="311" t="str">
        <f t="shared" si="515"/>
        <v>Dybstrøelse</v>
      </c>
      <c r="E408" s="311">
        <f t="shared" si="515"/>
        <v>20</v>
      </c>
      <c r="F408" s="311">
        <f t="shared" si="515"/>
        <v>14.2</v>
      </c>
      <c r="G408" s="311">
        <f t="shared" si="515"/>
        <v>1.2</v>
      </c>
      <c r="H408" s="311">
        <f t="shared" si="515"/>
        <v>1.8615000000000002</v>
      </c>
      <c r="I408" s="311">
        <f t="shared" si="515"/>
        <v>353.685</v>
      </c>
      <c r="J408" s="311">
        <f t="shared" si="515"/>
        <v>0</v>
      </c>
      <c r="K408" s="311">
        <f t="shared" si="515"/>
        <v>117.76000000000002</v>
      </c>
      <c r="N408" s="195" t="s">
        <v>205</v>
      </c>
      <c r="O408" s="662" t="s">
        <v>430</v>
      </c>
      <c r="P408" s="663">
        <v>1</v>
      </c>
      <c r="Q408" s="352" t="str">
        <f>C408</f>
        <v>Dybstrøelse (hele arealet)</v>
      </c>
      <c r="R408" s="352" t="str">
        <f>D408</f>
        <v>Dybstrøelse</v>
      </c>
      <c r="S408" s="561">
        <f t="shared" si="516"/>
        <v>20</v>
      </c>
      <c r="T408" s="561">
        <f t="shared" si="516"/>
        <v>14.2</v>
      </c>
      <c r="U408" s="352">
        <f t="shared" ref="U408" si="517">G408</f>
        <v>1.2</v>
      </c>
      <c r="V408" s="352">
        <f t="shared" ref="V408" si="518">H408</f>
        <v>1.8615000000000002</v>
      </c>
      <c r="W408" s="352">
        <f t="shared" ref="W408" si="519">I408</f>
        <v>353.685</v>
      </c>
      <c r="X408" s="142"/>
      <c r="Y408" s="561">
        <f>K408*$P$408</f>
        <v>117.76000000000002</v>
      </c>
      <c r="Z408" s="142"/>
      <c r="AA408" s="352" t="str">
        <f>$O$408&amp;"_"&amp;Q408&amp;" - "&amp;R408</f>
        <v>ak06e_Dybstrøelse (hele arealet) - Dybstrøelse</v>
      </c>
    </row>
    <row r="409" spans="1:27" x14ac:dyDescent="0.25">
      <c r="C409" s="311" t="str">
        <f t="shared" si="515"/>
        <v>Dybstrøelse + kort ædeplads med fast gulv</v>
      </c>
      <c r="D409" s="311" t="str">
        <f t="shared" si="515"/>
        <v>Dybstrøelse</v>
      </c>
      <c r="E409" s="311">
        <f t="shared" si="515"/>
        <v>20</v>
      </c>
      <c r="F409" s="311">
        <f t="shared" si="515"/>
        <v>14.2</v>
      </c>
      <c r="G409" s="311">
        <f t="shared" si="515"/>
        <v>1.2</v>
      </c>
      <c r="H409" s="311">
        <f t="shared" si="515"/>
        <v>1.8615000000000002</v>
      </c>
      <c r="I409" s="311">
        <f t="shared" si="515"/>
        <v>353.685</v>
      </c>
      <c r="J409" s="311">
        <f t="shared" si="515"/>
        <v>0</v>
      </c>
      <c r="K409" s="311">
        <f t="shared" si="515"/>
        <v>117.76000000000002</v>
      </c>
      <c r="N409" s="195" t="s">
        <v>207</v>
      </c>
      <c r="O409" s="662"/>
      <c r="P409" s="663"/>
      <c r="Q409" s="352" t="str">
        <f>C409</f>
        <v>Dybstrøelse + kort ædeplads med fast gulv</v>
      </c>
      <c r="R409" s="352" t="str">
        <f>D409</f>
        <v>Dybstrøelse</v>
      </c>
      <c r="S409" s="561">
        <f t="shared" si="516"/>
        <v>20</v>
      </c>
      <c r="T409" s="561">
        <f t="shared" si="516"/>
        <v>14.2</v>
      </c>
      <c r="U409" s="352">
        <f t="shared" ref="U409" si="520">G409</f>
        <v>1.2</v>
      </c>
      <c r="V409" s="352">
        <f t="shared" ref="V409" si="521">H409</f>
        <v>1.8615000000000002</v>
      </c>
      <c r="W409" s="352">
        <f t="shared" ref="W409" si="522">I409</f>
        <v>353.685</v>
      </c>
      <c r="X409" s="142"/>
      <c r="Y409" s="561">
        <f>K409*$P$408</f>
        <v>117.76000000000002</v>
      </c>
      <c r="Z409" s="142"/>
      <c r="AA409" s="352" t="str">
        <f>$O$408&amp;"_"&amp;Q409&amp;" - "&amp;R409</f>
        <v>ak06e_Dybstrøelse + kort ædeplads med fast gulv - Dybstrøelse</v>
      </c>
    </row>
    <row r="410" spans="1:27" x14ac:dyDescent="0.25">
      <c r="C410" s="342" t="str">
        <f t="shared" ref="C410:C423" si="523">C159</f>
        <v xml:space="preserve">Årsopdræt 6 mdr. til kælvning (25 mdr) (kvier og stude), jersey </v>
      </c>
      <c r="D410" s="311"/>
      <c r="E410" s="311"/>
      <c r="F410" s="311"/>
      <c r="G410" s="311"/>
      <c r="H410" s="311"/>
      <c r="I410" s="311"/>
      <c r="J410" s="311"/>
      <c r="K410" s="311"/>
      <c r="O410" s="662"/>
      <c r="P410" s="663"/>
      <c r="Q410" s="352"/>
      <c r="R410" s="352"/>
      <c r="S410" s="236"/>
      <c r="T410" s="236"/>
      <c r="U410" s="352"/>
      <c r="V410" s="352"/>
      <c r="W410" s="352"/>
      <c r="Y410" s="236"/>
      <c r="AA410" s="352"/>
    </row>
    <row r="411" spans="1:27" x14ac:dyDescent="0.25">
      <c r="C411" s="311" t="str">
        <f t="shared" si="523"/>
        <v>Normtal</v>
      </c>
      <c r="D411" s="311">
        <f t="shared" ref="D411:K411" si="524">D160</f>
        <v>0.67018469656992086</v>
      </c>
      <c r="E411" s="311">
        <f t="shared" si="524"/>
        <v>37.9</v>
      </c>
      <c r="F411" s="311">
        <f t="shared" si="524"/>
        <v>25.4</v>
      </c>
      <c r="G411" s="311">
        <f t="shared" si="524"/>
        <v>0</v>
      </c>
      <c r="H411" s="311">
        <f t="shared" si="524"/>
        <v>0</v>
      </c>
      <c r="I411" s="311">
        <f t="shared" si="524"/>
        <v>0</v>
      </c>
      <c r="J411" s="311">
        <f t="shared" si="524"/>
        <v>4.26</v>
      </c>
      <c r="K411" s="311">
        <f t="shared" si="524"/>
        <v>272.64000000000004</v>
      </c>
      <c r="N411" s="134" t="str">
        <f>C410</f>
        <v xml:space="preserve">Årsopdræt 6 mdr. til kælvning (25 mdr) (kvier og stude), jersey </v>
      </c>
      <c r="O411" s="662"/>
      <c r="P411" s="663"/>
      <c r="Q411" s="353" t="s">
        <v>477</v>
      </c>
      <c r="R411" s="354"/>
      <c r="S411" s="561">
        <f>E411*$P$412</f>
        <v>30.930131692307686</v>
      </c>
      <c r="T411" s="561">
        <f>F411*$P$412</f>
        <v>20.728900923076921</v>
      </c>
      <c r="U411" s="352"/>
      <c r="V411" s="352"/>
      <c r="W411" s="352"/>
      <c r="X411" s="142"/>
      <c r="Y411" s="561">
        <f>K411*$P$412</f>
        <v>222.50108455384617</v>
      </c>
      <c r="Z411" s="142"/>
      <c r="AA411" s="352"/>
    </row>
    <row r="412" spans="1:27" x14ac:dyDescent="0.25">
      <c r="C412" s="311" t="str">
        <f t="shared" si="523"/>
        <v>Bindestald med grebning</v>
      </c>
      <c r="D412" s="311" t="str">
        <f t="shared" ref="D412:K412" si="525">D161</f>
        <v>fast gødning</v>
      </c>
      <c r="E412" s="311">
        <f t="shared" si="525"/>
        <v>22.74</v>
      </c>
      <c r="F412" s="311">
        <f t="shared" si="525"/>
        <v>15.239999999999998</v>
      </c>
      <c r="G412" s="311">
        <f t="shared" si="525"/>
        <v>0.6</v>
      </c>
      <c r="H412" s="311">
        <f t="shared" si="525"/>
        <v>0.93075000000000008</v>
      </c>
      <c r="I412" s="311">
        <f t="shared" si="525"/>
        <v>176.8425</v>
      </c>
      <c r="J412" s="311">
        <f t="shared" si="525"/>
        <v>0</v>
      </c>
      <c r="K412" s="311">
        <f t="shared" si="525"/>
        <v>163.58400000000003</v>
      </c>
      <c r="N412" s="195" t="s">
        <v>205</v>
      </c>
      <c r="O412" s="662" t="s">
        <v>306</v>
      </c>
      <c r="P412" s="663">
        <f>(((6 +14.7) * 0.0576) + 1.46) /3.25</f>
        <v>0.81609846153846144</v>
      </c>
      <c r="Q412" s="352" t="str">
        <f>C412</f>
        <v>Bindestald med grebning</v>
      </c>
      <c r="R412" s="352" t="str">
        <f>D412</f>
        <v>fast gødning</v>
      </c>
      <c r="S412" s="561">
        <f>E412*$P$412</f>
        <v>18.55807901538461</v>
      </c>
      <c r="T412" s="561">
        <f>F412*$P$412</f>
        <v>12.437340553846152</v>
      </c>
      <c r="U412" s="352">
        <f t="shared" ref="U412" si="526">G412</f>
        <v>0.6</v>
      </c>
      <c r="V412" s="352">
        <f t="shared" ref="V412" si="527">H412</f>
        <v>0.93075000000000008</v>
      </c>
      <c r="W412" s="352">
        <f t="shared" ref="W412" si="528">I412</f>
        <v>176.8425</v>
      </c>
      <c r="X412" s="142"/>
      <c r="Y412" s="561">
        <f>K412*$P$412</f>
        <v>133.50065073230769</v>
      </c>
      <c r="Z412" s="142"/>
      <c r="AA412" s="352" t="str">
        <f>$O$412&amp;"_"&amp;Q412&amp;" - "&amp;R412</f>
        <v>aku18e_Bindestald med grebning - fast gødning</v>
      </c>
    </row>
    <row r="413" spans="1:27" x14ac:dyDescent="0.25">
      <c r="C413" s="311" t="str">
        <f t="shared" si="523"/>
        <v>Bindestald med grebning</v>
      </c>
      <c r="D413" s="311" t="str">
        <f t="shared" ref="D413:K413" si="529">D162</f>
        <v>ajle</v>
      </c>
      <c r="E413" s="311">
        <f t="shared" si="529"/>
        <v>15.16</v>
      </c>
      <c r="F413" s="311">
        <f t="shared" si="529"/>
        <v>10.16</v>
      </c>
      <c r="G413" s="311">
        <f t="shared" si="529"/>
        <v>0</v>
      </c>
      <c r="H413" s="311">
        <f t="shared" si="529"/>
        <v>0</v>
      </c>
      <c r="I413" s="311">
        <f t="shared" si="529"/>
        <v>0</v>
      </c>
      <c r="J413" s="311">
        <f t="shared" si="529"/>
        <v>0</v>
      </c>
      <c r="K413" s="311">
        <f t="shared" si="529"/>
        <v>109.05600000000003</v>
      </c>
      <c r="N413" s="195" t="s">
        <v>209</v>
      </c>
      <c r="O413" s="664" t="s">
        <v>485</v>
      </c>
      <c r="P413" s="663"/>
      <c r="Q413" s="352" t="str">
        <f t="shared" ref="Q413:Q427" si="530">C413</f>
        <v>Bindestald med grebning</v>
      </c>
      <c r="R413" s="352" t="str">
        <f t="shared" ref="R413:R427" si="531">D413</f>
        <v>ajle</v>
      </c>
      <c r="S413" s="561">
        <f t="shared" ref="S413:S427" si="532">E413*$P$412</f>
        <v>12.372052676923076</v>
      </c>
      <c r="T413" s="561">
        <f t="shared" ref="T413:T427" si="533">F413*$P$412</f>
        <v>8.2915603692307691</v>
      </c>
      <c r="U413" s="352">
        <f t="shared" ref="U413:U427" si="534">G413</f>
        <v>0</v>
      </c>
      <c r="V413" s="352">
        <f t="shared" ref="V413:V427" si="535">H413</f>
        <v>0</v>
      </c>
      <c r="W413" s="352">
        <f t="shared" ref="W413:W427" si="536">I413</f>
        <v>0</v>
      </c>
      <c r="X413" s="142"/>
      <c r="Y413" s="561">
        <f t="shared" ref="Y413:Y427" si="537">K413*$P$412</f>
        <v>89.000433821538465</v>
      </c>
      <c r="Z413" s="142"/>
      <c r="AA413" s="352" t="str">
        <f t="shared" ref="AA413:AA427" si="538">$O$412&amp;"_"&amp;Q413&amp;" - "&amp;R413</f>
        <v>aku18e_Bindestald med grebning - ajle</v>
      </c>
    </row>
    <row r="414" spans="1:27" x14ac:dyDescent="0.25">
      <c r="C414" s="311" t="str">
        <f t="shared" si="523"/>
        <v>Bindestald med riste</v>
      </c>
      <c r="D414" s="311" t="str">
        <f t="shared" ref="D414:K414" si="539">D163</f>
        <v>gylle</v>
      </c>
      <c r="E414" s="311">
        <f t="shared" si="539"/>
        <v>37.9</v>
      </c>
      <c r="F414" s="311">
        <f t="shared" si="539"/>
        <v>25.4</v>
      </c>
      <c r="G414" s="311">
        <f t="shared" si="539"/>
        <v>0.6</v>
      </c>
      <c r="H414" s="311">
        <f t="shared" si="539"/>
        <v>0.93075000000000008</v>
      </c>
      <c r="I414" s="311">
        <f t="shared" si="539"/>
        <v>176.8425</v>
      </c>
      <c r="J414" s="311">
        <f t="shared" si="539"/>
        <v>0</v>
      </c>
      <c r="K414" s="311">
        <f t="shared" si="539"/>
        <v>272.64000000000004</v>
      </c>
      <c r="N414" s="195" t="s">
        <v>456</v>
      </c>
      <c r="O414" s="662"/>
      <c r="P414" s="663"/>
      <c r="Q414" s="352" t="str">
        <f t="shared" si="530"/>
        <v>Bindestald med riste</v>
      </c>
      <c r="R414" s="352" t="str">
        <f t="shared" si="531"/>
        <v>gylle</v>
      </c>
      <c r="S414" s="561">
        <f t="shared" si="532"/>
        <v>30.930131692307686</v>
      </c>
      <c r="T414" s="561">
        <f t="shared" si="533"/>
        <v>20.728900923076921</v>
      </c>
      <c r="U414" s="352">
        <f t="shared" si="534"/>
        <v>0.6</v>
      </c>
      <c r="V414" s="352">
        <f t="shared" si="535"/>
        <v>0.93075000000000008</v>
      </c>
      <c r="W414" s="352">
        <f t="shared" si="536"/>
        <v>176.8425</v>
      </c>
      <c r="X414" s="142"/>
      <c r="Y414" s="561">
        <f t="shared" si="537"/>
        <v>222.50108455384617</v>
      </c>
      <c r="Z414" s="142"/>
      <c r="AA414" s="352" t="str">
        <f t="shared" si="538"/>
        <v>aku18e_Bindestald med riste - gylle</v>
      </c>
    </row>
    <row r="415" spans="1:27" x14ac:dyDescent="0.25">
      <c r="C415" s="311" t="str">
        <f t="shared" si="523"/>
        <v>Sengestald med fast gulv</v>
      </c>
      <c r="D415" s="311" t="str">
        <f t="shared" ref="D415:K415" si="540">D164</f>
        <v>gylle</v>
      </c>
      <c r="E415" s="311">
        <f t="shared" si="540"/>
        <v>37.9</v>
      </c>
      <c r="F415" s="311">
        <f t="shared" si="540"/>
        <v>25.4</v>
      </c>
      <c r="G415" s="311">
        <f t="shared" si="540"/>
        <v>0.2</v>
      </c>
      <c r="H415" s="311">
        <f t="shared" si="540"/>
        <v>0.31025000000000003</v>
      </c>
      <c r="I415" s="311">
        <f t="shared" si="540"/>
        <v>58.947500000000005</v>
      </c>
      <c r="J415" s="311">
        <f t="shared" si="540"/>
        <v>0</v>
      </c>
      <c r="K415" s="311">
        <f t="shared" si="540"/>
        <v>272.64000000000004</v>
      </c>
      <c r="O415" s="662"/>
      <c r="P415" s="663"/>
      <c r="Q415" s="352" t="str">
        <f t="shared" si="530"/>
        <v>Sengestald med fast gulv</v>
      </c>
      <c r="R415" s="352" t="str">
        <f t="shared" si="531"/>
        <v>gylle</v>
      </c>
      <c r="S415" s="561">
        <f t="shared" si="532"/>
        <v>30.930131692307686</v>
      </c>
      <c r="T415" s="561">
        <f t="shared" si="533"/>
        <v>20.728900923076921</v>
      </c>
      <c r="U415" s="352">
        <f t="shared" si="534"/>
        <v>0.2</v>
      </c>
      <c r="V415" s="352">
        <f t="shared" si="535"/>
        <v>0.31025000000000003</v>
      </c>
      <c r="W415" s="352">
        <f t="shared" si="536"/>
        <v>58.947500000000005</v>
      </c>
      <c r="X415" s="142"/>
      <c r="Y415" s="561">
        <f t="shared" si="537"/>
        <v>222.50108455384617</v>
      </c>
      <c r="Z415" s="142"/>
      <c r="AA415" s="352" t="str">
        <f t="shared" si="538"/>
        <v>aku18e_Sengestald med fast gulv - gylle</v>
      </c>
    </row>
    <row r="416" spans="1:27" x14ac:dyDescent="0.25">
      <c r="C416" s="311" t="str">
        <f t="shared" si="523"/>
        <v>Sengestald med spaltegulv (kanal, line- spil)</v>
      </c>
      <c r="D416" s="311" t="str">
        <f t="shared" ref="D416:K416" si="541">D165</f>
        <v>gylle</v>
      </c>
      <c r="E416" s="311">
        <f t="shared" si="541"/>
        <v>37.9</v>
      </c>
      <c r="F416" s="311">
        <f t="shared" si="541"/>
        <v>25.4</v>
      </c>
      <c r="G416" s="311">
        <f t="shared" si="541"/>
        <v>0.2</v>
      </c>
      <c r="H416" s="311">
        <f t="shared" si="541"/>
        <v>0.31025000000000003</v>
      </c>
      <c r="I416" s="311">
        <f t="shared" si="541"/>
        <v>58.947500000000005</v>
      </c>
      <c r="J416" s="311">
        <f t="shared" si="541"/>
        <v>0</v>
      </c>
      <c r="K416" s="311">
        <f t="shared" si="541"/>
        <v>272.64000000000004</v>
      </c>
      <c r="O416" s="662"/>
      <c r="P416" s="663"/>
      <c r="Q416" s="352" t="str">
        <f t="shared" si="530"/>
        <v>Sengestald med spaltegulv (kanal, line- spil)</v>
      </c>
      <c r="R416" s="352" t="str">
        <f t="shared" si="531"/>
        <v>gylle</v>
      </c>
      <c r="S416" s="561">
        <f t="shared" si="532"/>
        <v>30.930131692307686</v>
      </c>
      <c r="T416" s="561">
        <f t="shared" si="533"/>
        <v>20.728900923076921</v>
      </c>
      <c r="U416" s="352">
        <f t="shared" si="534"/>
        <v>0.2</v>
      </c>
      <c r="V416" s="352">
        <f t="shared" si="535"/>
        <v>0.31025000000000003</v>
      </c>
      <c r="W416" s="352">
        <f t="shared" si="536"/>
        <v>58.947500000000005</v>
      </c>
      <c r="X416" s="142"/>
      <c r="Y416" s="561">
        <f t="shared" si="537"/>
        <v>222.50108455384617</v>
      </c>
      <c r="Z416" s="142"/>
      <c r="AA416" s="352" t="str">
        <f t="shared" si="538"/>
        <v>aku18e_Sengestald med spaltegulv (kanal, line- spil) - gylle</v>
      </c>
    </row>
    <row r="417" spans="3:28" x14ac:dyDescent="0.25">
      <c r="C417" s="311" t="str">
        <f t="shared" si="523"/>
        <v>Sengestald med spaltegulv (kanal, bagskyl eller ringkanal)</v>
      </c>
      <c r="D417" s="311" t="str">
        <f t="shared" ref="D417:K417" si="542">D166</f>
        <v>gylle</v>
      </c>
      <c r="E417" s="311">
        <f t="shared" si="542"/>
        <v>37.9</v>
      </c>
      <c r="F417" s="311">
        <f t="shared" si="542"/>
        <v>25.4</v>
      </c>
      <c r="G417" s="311">
        <f t="shared" si="542"/>
        <v>0.2</v>
      </c>
      <c r="H417" s="311">
        <f t="shared" si="542"/>
        <v>0.31025000000000003</v>
      </c>
      <c r="I417" s="311">
        <f t="shared" si="542"/>
        <v>58.947500000000005</v>
      </c>
      <c r="J417" s="311">
        <f t="shared" si="542"/>
        <v>0</v>
      </c>
      <c r="K417" s="311">
        <f t="shared" si="542"/>
        <v>272.64000000000004</v>
      </c>
      <c r="O417" s="662"/>
      <c r="P417" s="663"/>
      <c r="Q417" s="352" t="str">
        <f t="shared" si="530"/>
        <v>Sengestald med spaltegulv (kanal, bagskyl eller ringkanal)</v>
      </c>
      <c r="R417" s="352" t="str">
        <f t="shared" si="531"/>
        <v>gylle</v>
      </c>
      <c r="S417" s="561">
        <f t="shared" si="532"/>
        <v>30.930131692307686</v>
      </c>
      <c r="T417" s="561">
        <f t="shared" si="533"/>
        <v>20.728900923076921</v>
      </c>
      <c r="U417" s="352">
        <f t="shared" si="534"/>
        <v>0.2</v>
      </c>
      <c r="V417" s="352">
        <f t="shared" si="535"/>
        <v>0.31025000000000003</v>
      </c>
      <c r="W417" s="352">
        <f t="shared" si="536"/>
        <v>58.947500000000005</v>
      </c>
      <c r="X417" s="142"/>
      <c r="Y417" s="561">
        <f t="shared" si="537"/>
        <v>222.50108455384617</v>
      </c>
      <c r="Z417" s="142"/>
      <c r="AA417" s="352" t="str">
        <f t="shared" si="538"/>
        <v>aku18e_Sengestald med spaltegulv (kanal, bagskyl eller ringkanal) - gylle</v>
      </c>
    </row>
    <row r="418" spans="3:28" x14ac:dyDescent="0.25">
      <c r="C418" s="311" t="str">
        <f t="shared" si="523"/>
        <v>Sengestald, fast drænet gulv med skra- ber og ajleafløb *)</v>
      </c>
      <c r="D418" s="311" t="str">
        <f t="shared" ref="D418:K418" si="543">D167</f>
        <v>gylle</v>
      </c>
      <c r="E418" s="311">
        <f t="shared" si="543"/>
        <v>37.9</v>
      </c>
      <c r="F418" s="311">
        <f t="shared" si="543"/>
        <v>25.4</v>
      </c>
      <c r="G418" s="311">
        <f t="shared" si="543"/>
        <v>0.2</v>
      </c>
      <c r="H418" s="311">
        <f t="shared" si="543"/>
        <v>0.31025000000000003</v>
      </c>
      <c r="I418" s="311">
        <f t="shared" si="543"/>
        <v>58.947500000000005</v>
      </c>
      <c r="J418" s="311">
        <f t="shared" si="543"/>
        <v>0</v>
      </c>
      <c r="K418" s="311">
        <f t="shared" si="543"/>
        <v>272.64000000000004</v>
      </c>
      <c r="O418" s="662"/>
      <c r="P418" s="663"/>
      <c r="Q418" s="352" t="str">
        <f t="shared" si="530"/>
        <v>Sengestald, fast drænet gulv med skra- ber og ajleafløb *)</v>
      </c>
      <c r="R418" s="352" t="str">
        <f t="shared" si="531"/>
        <v>gylle</v>
      </c>
      <c r="S418" s="561">
        <f t="shared" si="532"/>
        <v>30.930131692307686</v>
      </c>
      <c r="T418" s="561">
        <f t="shared" si="533"/>
        <v>20.728900923076921</v>
      </c>
      <c r="U418" s="352">
        <f t="shared" si="534"/>
        <v>0.2</v>
      </c>
      <c r="V418" s="352">
        <f t="shared" si="535"/>
        <v>0.31025000000000003</v>
      </c>
      <c r="W418" s="352">
        <f t="shared" si="536"/>
        <v>58.947500000000005</v>
      </c>
      <c r="X418" s="142"/>
      <c r="Y418" s="561">
        <f t="shared" si="537"/>
        <v>222.50108455384617</v>
      </c>
      <c r="Z418" s="142"/>
      <c r="AA418" s="352" t="str">
        <f t="shared" si="538"/>
        <v>aku18e_Sengestald, fast drænet gulv med skra- ber og ajleafløb *) - gylle</v>
      </c>
    </row>
    <row r="419" spans="3:28" x14ac:dyDescent="0.25">
      <c r="C419" s="311" t="str">
        <f t="shared" si="523"/>
        <v>Dybstrøelse, hele arealet</v>
      </c>
      <c r="D419" s="311" t="str">
        <f t="shared" ref="D419:K419" si="544">D168</f>
        <v>dybstrøelse</v>
      </c>
      <c r="E419" s="311">
        <f t="shared" si="544"/>
        <v>37.9</v>
      </c>
      <c r="F419" s="311">
        <f t="shared" si="544"/>
        <v>0</v>
      </c>
      <c r="G419" s="311">
        <f t="shared" si="544"/>
        <v>5</v>
      </c>
      <c r="H419" s="311">
        <f t="shared" si="544"/>
        <v>7.7562500000000005</v>
      </c>
      <c r="I419" s="311">
        <f t="shared" si="544"/>
        <v>1473.6874999999998</v>
      </c>
      <c r="J419" s="311">
        <f t="shared" si="544"/>
        <v>0</v>
      </c>
      <c r="K419" s="311">
        <f t="shared" si="544"/>
        <v>272.64000000000004</v>
      </c>
      <c r="O419" s="662"/>
      <c r="P419" s="663"/>
      <c r="Q419" s="352" t="str">
        <f t="shared" si="530"/>
        <v>Dybstrøelse, hele arealet</v>
      </c>
      <c r="R419" s="352" t="str">
        <f t="shared" si="531"/>
        <v>dybstrøelse</v>
      </c>
      <c r="S419" s="561">
        <f t="shared" si="532"/>
        <v>30.930131692307686</v>
      </c>
      <c r="T419" s="561">
        <f t="shared" si="533"/>
        <v>0</v>
      </c>
      <c r="U419" s="352">
        <f t="shared" si="534"/>
        <v>5</v>
      </c>
      <c r="V419" s="352">
        <f t="shared" si="535"/>
        <v>7.7562500000000005</v>
      </c>
      <c r="W419" s="352">
        <f t="shared" si="536"/>
        <v>1473.6874999999998</v>
      </c>
      <c r="X419" s="142"/>
      <c r="Y419" s="561">
        <f t="shared" si="537"/>
        <v>222.50108455384617</v>
      </c>
      <c r="Z419" s="142"/>
      <c r="AA419" s="352" t="str">
        <f t="shared" si="538"/>
        <v>aku18e_Dybstrøelse, hele arealet - dybstrøelse</v>
      </c>
    </row>
    <row r="420" spans="3:28" x14ac:dyDescent="0.25">
      <c r="C420" s="311" t="str">
        <f t="shared" si="523"/>
        <v>Dybstrøelse + kort ædeplads med fast gulv</v>
      </c>
      <c r="D420" s="311" t="str">
        <f t="shared" ref="D420:K420" si="545">D169</f>
        <v>dybstrøelse</v>
      </c>
      <c r="E420" s="311">
        <f t="shared" si="545"/>
        <v>37.9</v>
      </c>
      <c r="F420" s="311">
        <f t="shared" si="545"/>
        <v>0</v>
      </c>
      <c r="G420" s="311">
        <f t="shared" si="545"/>
        <v>4</v>
      </c>
      <c r="H420" s="311">
        <f t="shared" si="545"/>
        <v>6.2050000000000001</v>
      </c>
      <c r="I420" s="311">
        <f t="shared" si="545"/>
        <v>1178.95</v>
      </c>
      <c r="J420" s="311">
        <f t="shared" si="545"/>
        <v>0</v>
      </c>
      <c r="K420" s="311">
        <f t="shared" si="545"/>
        <v>272.64000000000004</v>
      </c>
      <c r="O420" s="662"/>
      <c r="P420" s="663"/>
      <c r="Q420" s="352" t="str">
        <f t="shared" si="530"/>
        <v>Dybstrøelse + kort ædeplads med fast gulv</v>
      </c>
      <c r="R420" s="352" t="str">
        <f t="shared" si="531"/>
        <v>dybstrøelse</v>
      </c>
      <c r="S420" s="561">
        <f t="shared" si="532"/>
        <v>30.930131692307686</v>
      </c>
      <c r="T420" s="561">
        <f t="shared" si="533"/>
        <v>0</v>
      </c>
      <c r="U420" s="352">
        <f t="shared" si="534"/>
        <v>4</v>
      </c>
      <c r="V420" s="352">
        <f t="shared" si="535"/>
        <v>6.2050000000000001</v>
      </c>
      <c r="W420" s="352">
        <f t="shared" si="536"/>
        <v>1178.95</v>
      </c>
      <c r="X420" s="142"/>
      <c r="Y420" s="561">
        <f t="shared" si="537"/>
        <v>222.50108455384617</v>
      </c>
      <c r="Z420" s="142"/>
      <c r="AA420" s="352" t="str">
        <f t="shared" si="538"/>
        <v>aku18e_Dybstrøelse + kort ædeplads med fast gulv - dybstrøelse</v>
      </c>
    </row>
    <row r="421" spans="3:28" x14ac:dyDescent="0.25">
      <c r="C421" s="311" t="str">
        <f t="shared" si="523"/>
        <v>Dybstrøelse, lang ædeplads med fast gulv</v>
      </c>
      <c r="D421" s="311" t="str">
        <f t="shared" ref="D421:K421" si="546">D170</f>
        <v>dybstrøelse</v>
      </c>
      <c r="E421" s="311">
        <f t="shared" si="546"/>
        <v>22.74</v>
      </c>
      <c r="F421" s="311">
        <f t="shared" si="546"/>
        <v>0</v>
      </c>
      <c r="G421" s="311">
        <f t="shared" si="546"/>
        <v>4</v>
      </c>
      <c r="H421" s="311">
        <f t="shared" si="546"/>
        <v>6.2050000000000001</v>
      </c>
      <c r="I421" s="311">
        <f t="shared" si="546"/>
        <v>1178.95</v>
      </c>
      <c r="J421" s="311">
        <f t="shared" si="546"/>
        <v>0</v>
      </c>
      <c r="K421" s="311">
        <f t="shared" si="546"/>
        <v>163.58400000000003</v>
      </c>
      <c r="O421" s="662"/>
      <c r="P421" s="663"/>
      <c r="Q421" s="352" t="str">
        <f t="shared" si="530"/>
        <v>Dybstrøelse, lang ædeplads med fast gulv</v>
      </c>
      <c r="R421" s="352" t="str">
        <f t="shared" si="531"/>
        <v>dybstrøelse</v>
      </c>
      <c r="S421" s="561">
        <f t="shared" si="532"/>
        <v>18.55807901538461</v>
      </c>
      <c r="T421" s="561">
        <f t="shared" si="533"/>
        <v>0</v>
      </c>
      <c r="U421" s="352">
        <f t="shared" si="534"/>
        <v>4</v>
      </c>
      <c r="V421" s="352">
        <f t="shared" si="535"/>
        <v>6.2050000000000001</v>
      </c>
      <c r="W421" s="352">
        <f t="shared" si="536"/>
        <v>1178.95</v>
      </c>
      <c r="X421" s="142"/>
      <c r="Y421" s="561">
        <f t="shared" si="537"/>
        <v>133.50065073230769</v>
      </c>
      <c r="Z421" s="142"/>
      <c r="AA421" s="352" t="str">
        <f t="shared" si="538"/>
        <v>aku18e_Dybstrøelse, lang ædeplads med fast gulv - dybstrøelse</v>
      </c>
    </row>
    <row r="422" spans="3:28" x14ac:dyDescent="0.25">
      <c r="C422" s="311" t="str">
        <f t="shared" si="523"/>
        <v>Dybstrøelse, lang ædeplads med fast gulv</v>
      </c>
      <c r="D422" s="311" t="str">
        <f t="shared" ref="D422:K422" si="547">D171</f>
        <v>gylle</v>
      </c>
      <c r="E422" s="311">
        <f t="shared" si="547"/>
        <v>15.16</v>
      </c>
      <c r="F422" s="311">
        <f t="shared" si="547"/>
        <v>10.16</v>
      </c>
      <c r="G422" s="311">
        <f t="shared" si="547"/>
        <v>0</v>
      </c>
      <c r="H422" s="311">
        <f t="shared" si="547"/>
        <v>0</v>
      </c>
      <c r="I422" s="311">
        <f t="shared" si="547"/>
        <v>0</v>
      </c>
      <c r="J422" s="311">
        <f t="shared" si="547"/>
        <v>0</v>
      </c>
      <c r="K422" s="311">
        <f t="shared" si="547"/>
        <v>109.05600000000003</v>
      </c>
      <c r="O422" s="662"/>
      <c r="P422" s="663"/>
      <c r="Q422" s="352" t="str">
        <f t="shared" si="530"/>
        <v>Dybstrøelse, lang ædeplads med fast gulv</v>
      </c>
      <c r="R422" s="352" t="str">
        <f t="shared" si="531"/>
        <v>gylle</v>
      </c>
      <c r="S422" s="561">
        <f t="shared" si="532"/>
        <v>12.372052676923076</v>
      </c>
      <c r="T422" s="561">
        <f t="shared" si="533"/>
        <v>8.2915603692307691</v>
      </c>
      <c r="U422" s="352">
        <f t="shared" si="534"/>
        <v>0</v>
      </c>
      <c r="V422" s="352">
        <f t="shared" si="535"/>
        <v>0</v>
      </c>
      <c r="W422" s="352">
        <f t="shared" si="536"/>
        <v>0</v>
      </c>
      <c r="X422" s="142"/>
      <c r="Y422" s="561">
        <f t="shared" si="537"/>
        <v>89.000433821538465</v>
      </c>
      <c r="Z422" s="142"/>
      <c r="AA422" s="352" t="str">
        <f t="shared" si="538"/>
        <v>aku18e_Dybstrøelse, lang ædeplads med fast gulv - gylle</v>
      </c>
    </row>
    <row r="423" spans="3:28" x14ac:dyDescent="0.25">
      <c r="C423" s="311" t="str">
        <f t="shared" si="523"/>
        <v>Dybstrøelse, lang ædeplads med spalter (kanal, linespil)</v>
      </c>
      <c r="D423" s="311" t="str">
        <f t="shared" ref="D423:K423" si="548">D172</f>
        <v>dybstrøelse</v>
      </c>
      <c r="E423" s="311">
        <f t="shared" si="548"/>
        <v>22.74</v>
      </c>
      <c r="F423" s="311">
        <f t="shared" si="548"/>
        <v>0</v>
      </c>
      <c r="G423" s="311">
        <f t="shared" si="548"/>
        <v>4</v>
      </c>
      <c r="H423" s="311">
        <f t="shared" si="548"/>
        <v>6.2050000000000001</v>
      </c>
      <c r="I423" s="311">
        <f t="shared" si="548"/>
        <v>1178.95</v>
      </c>
      <c r="J423" s="311">
        <f t="shared" si="548"/>
        <v>0</v>
      </c>
      <c r="K423" s="311">
        <f t="shared" si="548"/>
        <v>163.58400000000003</v>
      </c>
      <c r="O423" s="662"/>
      <c r="P423" s="663"/>
      <c r="Q423" s="352" t="str">
        <f t="shared" si="530"/>
        <v>Dybstrøelse, lang ædeplads med spalter (kanal, linespil)</v>
      </c>
      <c r="R423" s="352" t="str">
        <f t="shared" si="531"/>
        <v>dybstrøelse</v>
      </c>
      <c r="S423" s="561">
        <f t="shared" si="532"/>
        <v>18.55807901538461</v>
      </c>
      <c r="T423" s="561">
        <f t="shared" si="533"/>
        <v>0</v>
      </c>
      <c r="U423" s="352">
        <f t="shared" si="534"/>
        <v>4</v>
      </c>
      <c r="V423" s="352">
        <f t="shared" si="535"/>
        <v>6.2050000000000001</v>
      </c>
      <c r="W423" s="352">
        <f t="shared" si="536"/>
        <v>1178.95</v>
      </c>
      <c r="X423" s="142"/>
      <c r="Y423" s="561">
        <f t="shared" si="537"/>
        <v>133.50065073230769</v>
      </c>
      <c r="Z423" s="142"/>
      <c r="AA423" s="352" t="str">
        <f t="shared" si="538"/>
        <v>aku18e_Dybstrøelse, lang ædeplads med spalter (kanal, linespil) - dybstrøelse</v>
      </c>
    </row>
    <row r="424" spans="3:28" x14ac:dyDescent="0.25">
      <c r="C424" s="311" t="str">
        <f t="shared" ref="C424:K427" si="549">C173</f>
        <v>Dybstrøelse, lang ædeplads med spalter (kanal, linespil)</v>
      </c>
      <c r="D424" s="311" t="str">
        <f t="shared" si="549"/>
        <v>gylle</v>
      </c>
      <c r="E424" s="311">
        <f t="shared" si="549"/>
        <v>15.16</v>
      </c>
      <c r="F424" s="311">
        <f t="shared" si="549"/>
        <v>10.16</v>
      </c>
      <c r="G424" s="311">
        <f t="shared" si="549"/>
        <v>0</v>
      </c>
      <c r="H424" s="311">
        <f t="shared" si="549"/>
        <v>0</v>
      </c>
      <c r="I424" s="311">
        <f t="shared" si="549"/>
        <v>0</v>
      </c>
      <c r="J424" s="311">
        <f t="shared" si="549"/>
        <v>0</v>
      </c>
      <c r="K424" s="311">
        <f t="shared" si="549"/>
        <v>109.05600000000003</v>
      </c>
      <c r="O424" s="662"/>
      <c r="P424" s="663"/>
      <c r="Q424" s="352" t="str">
        <f t="shared" si="530"/>
        <v>Dybstrøelse, lang ædeplads med spalter (kanal, linespil)</v>
      </c>
      <c r="R424" s="352" t="str">
        <f t="shared" si="531"/>
        <v>gylle</v>
      </c>
      <c r="S424" s="561">
        <f t="shared" si="532"/>
        <v>12.372052676923076</v>
      </c>
      <c r="T424" s="561">
        <f t="shared" si="533"/>
        <v>8.2915603692307691</v>
      </c>
      <c r="U424" s="352">
        <f t="shared" si="534"/>
        <v>0</v>
      </c>
      <c r="V424" s="352">
        <f t="shared" si="535"/>
        <v>0</v>
      </c>
      <c r="W424" s="352">
        <f t="shared" si="536"/>
        <v>0</v>
      </c>
      <c r="X424" s="142"/>
      <c r="Y424" s="561">
        <f t="shared" si="537"/>
        <v>89.000433821538465</v>
      </c>
      <c r="Z424" s="142"/>
      <c r="AA424" s="352" t="str">
        <f t="shared" si="538"/>
        <v>aku18e_Dybstrøelse, lang ædeplads med spalter (kanal, linespil) - gylle</v>
      </c>
    </row>
    <row r="425" spans="3:28" x14ac:dyDescent="0.25">
      <c r="C425" s="311" t="str">
        <f t="shared" si="549"/>
        <v>Dybstrøelse, lang ædeplads med spalter (kanal, bagskyl eller ringkanal)</v>
      </c>
      <c r="D425" s="311" t="str">
        <f t="shared" si="549"/>
        <v>dybstrøelse</v>
      </c>
      <c r="E425" s="311">
        <f t="shared" si="549"/>
        <v>22.74</v>
      </c>
      <c r="F425" s="311">
        <f t="shared" si="549"/>
        <v>0</v>
      </c>
      <c r="G425" s="311">
        <f t="shared" si="549"/>
        <v>4</v>
      </c>
      <c r="H425" s="311">
        <f t="shared" si="549"/>
        <v>6.2050000000000001</v>
      </c>
      <c r="I425" s="311">
        <f t="shared" si="549"/>
        <v>1178.95</v>
      </c>
      <c r="J425" s="311">
        <f t="shared" si="549"/>
        <v>0</v>
      </c>
      <c r="K425" s="311">
        <f t="shared" si="549"/>
        <v>163.58400000000003</v>
      </c>
      <c r="O425" s="662"/>
      <c r="P425" s="663"/>
      <c r="Q425" s="352" t="str">
        <f t="shared" si="530"/>
        <v>Dybstrøelse, lang ædeplads med spalter (kanal, bagskyl eller ringkanal)</v>
      </c>
      <c r="R425" s="352" t="str">
        <f t="shared" si="531"/>
        <v>dybstrøelse</v>
      </c>
      <c r="S425" s="561">
        <f t="shared" si="532"/>
        <v>18.55807901538461</v>
      </c>
      <c r="T425" s="561">
        <f t="shared" si="533"/>
        <v>0</v>
      </c>
      <c r="U425" s="352">
        <f t="shared" si="534"/>
        <v>4</v>
      </c>
      <c r="V425" s="352">
        <f t="shared" si="535"/>
        <v>6.2050000000000001</v>
      </c>
      <c r="W425" s="352">
        <f t="shared" si="536"/>
        <v>1178.95</v>
      </c>
      <c r="X425" s="142"/>
      <c r="Y425" s="561">
        <f t="shared" si="537"/>
        <v>133.50065073230769</v>
      </c>
      <c r="Z425" s="142"/>
      <c r="AA425" s="352" t="str">
        <f t="shared" si="538"/>
        <v>aku18e_Dybstrøelse, lang ædeplads med spalter (kanal, bagskyl eller ringkanal) - dybstrøelse</v>
      </c>
    </row>
    <row r="426" spans="3:28" x14ac:dyDescent="0.25">
      <c r="C426" s="311" t="str">
        <f>C175</f>
        <v>Dybstrøelse, lang ædeplads med spalter (kanal, bagskyl eller ringkanal)</v>
      </c>
      <c r="D426" s="311" t="str">
        <f t="shared" ref="D426:K426" si="550">D175</f>
        <v>gylle</v>
      </c>
      <c r="E426" s="311">
        <f t="shared" si="550"/>
        <v>15.16</v>
      </c>
      <c r="F426" s="311">
        <f t="shared" si="550"/>
        <v>10.16</v>
      </c>
      <c r="G426" s="311">
        <f t="shared" si="550"/>
        <v>0</v>
      </c>
      <c r="H426" s="311">
        <f t="shared" si="550"/>
        <v>0</v>
      </c>
      <c r="I426" s="311">
        <f t="shared" si="550"/>
        <v>0</v>
      </c>
      <c r="J426" s="311">
        <f t="shared" si="550"/>
        <v>0</v>
      </c>
      <c r="K426" s="311">
        <f t="shared" si="550"/>
        <v>109.05600000000003</v>
      </c>
      <c r="O426" s="662"/>
      <c r="P426" s="663"/>
      <c r="Q426" s="352" t="str">
        <f t="shared" si="530"/>
        <v>Dybstrøelse, lang ædeplads med spalter (kanal, bagskyl eller ringkanal)</v>
      </c>
      <c r="R426" s="352" t="str">
        <f t="shared" si="531"/>
        <v>gylle</v>
      </c>
      <c r="S426" s="561">
        <f t="shared" si="532"/>
        <v>12.372052676923076</v>
      </c>
      <c r="T426" s="561">
        <f t="shared" si="533"/>
        <v>8.2915603692307691</v>
      </c>
      <c r="U426" s="352">
        <f t="shared" si="534"/>
        <v>0</v>
      </c>
      <c r="V426" s="352">
        <f t="shared" si="535"/>
        <v>0</v>
      </c>
      <c r="W426" s="352">
        <f t="shared" si="536"/>
        <v>0</v>
      </c>
      <c r="X426" s="142"/>
      <c r="Y426" s="561">
        <f t="shared" si="537"/>
        <v>89.000433821538465</v>
      </c>
      <c r="Z426" s="142"/>
      <c r="AA426" s="352" t="str">
        <f t="shared" si="538"/>
        <v>aku18e_Dybstrøelse, lang ædeplads med spalter (kanal, bagskyl eller ringkanal) - gylle</v>
      </c>
    </row>
    <row r="427" spans="3:28" x14ac:dyDescent="0.25">
      <c r="C427" s="311" t="str">
        <f t="shared" si="549"/>
        <v>Spaltegulvbokse</v>
      </c>
      <c r="D427" s="311" t="str">
        <f t="shared" si="549"/>
        <v>gylle</v>
      </c>
      <c r="E427" s="311">
        <f t="shared" si="549"/>
        <v>37.9</v>
      </c>
      <c r="F427" s="311">
        <f t="shared" si="549"/>
        <v>25.4</v>
      </c>
      <c r="G427" s="311">
        <f t="shared" si="549"/>
        <v>0</v>
      </c>
      <c r="H427" s="311">
        <f t="shared" si="549"/>
        <v>0</v>
      </c>
      <c r="I427" s="311">
        <f t="shared" si="549"/>
        <v>0</v>
      </c>
      <c r="J427" s="311">
        <f t="shared" si="549"/>
        <v>0</v>
      </c>
      <c r="K427" s="311">
        <f t="shared" si="549"/>
        <v>272.64000000000004</v>
      </c>
      <c r="O427" s="662"/>
      <c r="P427" s="663"/>
      <c r="Q427" s="352" t="str">
        <f t="shared" si="530"/>
        <v>Spaltegulvbokse</v>
      </c>
      <c r="R427" s="352" t="str">
        <f t="shared" si="531"/>
        <v>gylle</v>
      </c>
      <c r="S427" s="561">
        <f t="shared" si="532"/>
        <v>30.930131692307686</v>
      </c>
      <c r="T427" s="561">
        <f t="shared" si="533"/>
        <v>20.728900923076921</v>
      </c>
      <c r="U427" s="352">
        <f t="shared" si="534"/>
        <v>0</v>
      </c>
      <c r="V427" s="352">
        <f t="shared" si="535"/>
        <v>0</v>
      </c>
      <c r="W427" s="352">
        <f t="shared" si="536"/>
        <v>0</v>
      </c>
      <c r="X427" s="142"/>
      <c r="Y427" s="561">
        <f t="shared" si="537"/>
        <v>222.50108455384617</v>
      </c>
      <c r="Z427" s="142"/>
      <c r="AA427" s="352" t="str">
        <f t="shared" si="538"/>
        <v>aku18e_Spaltegulvbokse - gylle</v>
      </c>
    </row>
    <row r="428" spans="3:28" x14ac:dyDescent="0.25">
      <c r="C428" s="311"/>
      <c r="D428" s="311"/>
      <c r="E428" s="311"/>
      <c r="F428" s="311"/>
      <c r="G428" s="311"/>
      <c r="H428" s="311"/>
      <c r="I428" s="311"/>
      <c r="J428" s="311"/>
      <c r="K428" s="311"/>
      <c r="O428" s="662"/>
      <c r="P428" s="663"/>
      <c r="Q428" s="352"/>
      <c r="R428" s="352"/>
      <c r="S428" s="561"/>
      <c r="T428" s="561"/>
      <c r="U428" s="352"/>
      <c r="V428" s="352"/>
      <c r="W428" s="352"/>
      <c r="X428" s="142"/>
      <c r="Y428" s="561"/>
      <c r="Z428" s="142"/>
      <c r="AA428" s="352"/>
    </row>
    <row r="429" spans="3:28" x14ac:dyDescent="0.25">
      <c r="C429" s="311"/>
      <c r="D429" s="311"/>
      <c r="E429" s="311"/>
      <c r="F429" s="311"/>
      <c r="G429" s="311"/>
      <c r="H429" s="311"/>
      <c r="I429" s="311"/>
      <c r="J429" s="311"/>
      <c r="K429" s="311"/>
      <c r="N429" s="134" t="str">
        <f>C410</f>
        <v xml:space="preserve">Årsopdræt 6 mdr. til kælvning (25 mdr) (kvier og stude), jersey </v>
      </c>
      <c r="O429" s="662"/>
      <c r="P429" s="663"/>
      <c r="Q429" s="353" t="s">
        <v>478</v>
      </c>
      <c r="R429" s="354"/>
      <c r="S429" s="561">
        <f>E411*$P$430</f>
        <v>40.401166769230763</v>
      </c>
      <c r="T429" s="561">
        <f>F411*$P$430</f>
        <v>27.076243692307688</v>
      </c>
      <c r="U429" s="352"/>
      <c r="V429" s="352"/>
      <c r="W429" s="352"/>
      <c r="X429" s="142"/>
      <c r="Y429" s="561">
        <f>K411*$P$430</f>
        <v>290.63256221538467</v>
      </c>
      <c r="Z429" s="142"/>
      <c r="AA429" s="352"/>
    </row>
    <row r="430" spans="3:28" x14ac:dyDescent="0.25">
      <c r="C430" s="311"/>
      <c r="D430" s="311"/>
      <c r="E430" s="311"/>
      <c r="F430" s="311"/>
      <c r="G430" s="311"/>
      <c r="H430" s="311"/>
      <c r="I430" s="311"/>
      <c r="J430" s="311"/>
      <c r="K430" s="311"/>
      <c r="O430" s="662" t="s">
        <v>307</v>
      </c>
      <c r="P430" s="663">
        <f>(((6 + 28.8) * 0.0576) + 1.46) /3.25</f>
        <v>1.0659938461538461</v>
      </c>
      <c r="Q430" s="352" t="str">
        <f>C412</f>
        <v>Bindestald med grebning</v>
      </c>
      <c r="R430" s="352" t="str">
        <f>D412</f>
        <v>fast gødning</v>
      </c>
      <c r="S430" s="561">
        <f>E412*$P$430</f>
        <v>24.240700061538458</v>
      </c>
      <c r="T430" s="561">
        <f>F412*$P$430</f>
        <v>16.245746215384614</v>
      </c>
      <c r="U430" s="352">
        <f t="shared" ref="U430:W430" si="551">G412</f>
        <v>0.6</v>
      </c>
      <c r="V430" s="352">
        <f t="shared" si="551"/>
        <v>0.93075000000000008</v>
      </c>
      <c r="W430" s="352">
        <f t="shared" si="551"/>
        <v>176.8425</v>
      </c>
      <c r="X430" s="142"/>
      <c r="Y430" s="561">
        <f>K412*$P$430</f>
        <v>174.3795373292308</v>
      </c>
      <c r="Z430" s="142"/>
      <c r="AA430" s="352" t="str">
        <f>$O$430&amp;"_"&amp;Q430&amp;" - "&amp;R430</f>
        <v>ako18e_Bindestald med grebning - fast gødning</v>
      </c>
      <c r="AB430" s="142"/>
    </row>
    <row r="431" spans="3:28" x14ac:dyDescent="0.25">
      <c r="C431" s="311"/>
      <c r="D431" s="311"/>
      <c r="E431" s="311"/>
      <c r="F431" s="311"/>
      <c r="G431" s="311"/>
      <c r="H431" s="311"/>
      <c r="I431" s="311"/>
      <c r="J431" s="311"/>
      <c r="K431" s="311"/>
      <c r="O431" s="664" t="s">
        <v>493</v>
      </c>
      <c r="P431" s="663"/>
      <c r="Q431" s="352" t="str">
        <f t="shared" ref="Q431:R431" si="552">C413</f>
        <v>Bindestald med grebning</v>
      </c>
      <c r="R431" s="352" t="str">
        <f t="shared" si="552"/>
        <v>ajle</v>
      </c>
      <c r="S431" s="561">
        <f t="shared" ref="S431:T431" si="553">E413*$P$430</f>
        <v>16.160466707692308</v>
      </c>
      <c r="T431" s="561">
        <f t="shared" si="553"/>
        <v>10.830497476923076</v>
      </c>
      <c r="U431" s="352">
        <f t="shared" ref="U431:U445" si="554">G413</f>
        <v>0</v>
      </c>
      <c r="V431" s="352">
        <f t="shared" ref="V431:V445" si="555">H413</f>
        <v>0</v>
      </c>
      <c r="W431" s="352">
        <f t="shared" ref="W431:W445" si="556">I413</f>
        <v>0</v>
      </c>
      <c r="X431" s="142"/>
      <c r="Y431" s="561">
        <f t="shared" ref="Y431:Y445" si="557">K413*$P$430</f>
        <v>116.25302488615387</v>
      </c>
      <c r="Z431" s="142"/>
      <c r="AA431" s="352" t="str">
        <f t="shared" ref="AA431:AA445" si="558">$O$430&amp;"_"&amp;Q431&amp;" - "&amp;R431</f>
        <v>ako18e_Bindestald med grebning - ajle</v>
      </c>
      <c r="AB431" s="142"/>
    </row>
    <row r="432" spans="3:28" x14ac:dyDescent="0.25">
      <c r="C432" s="311"/>
      <c r="D432" s="311"/>
      <c r="E432" s="311"/>
      <c r="F432" s="311"/>
      <c r="G432" s="311"/>
      <c r="H432" s="311"/>
      <c r="I432" s="311"/>
      <c r="J432" s="311"/>
      <c r="K432" s="311"/>
      <c r="O432" s="662"/>
      <c r="P432" s="663"/>
      <c r="Q432" s="352" t="str">
        <f t="shared" ref="Q432:R432" si="559">C414</f>
        <v>Bindestald med riste</v>
      </c>
      <c r="R432" s="352" t="str">
        <f t="shared" si="559"/>
        <v>gylle</v>
      </c>
      <c r="S432" s="561">
        <f t="shared" ref="S432:T432" si="560">E414*$P$430</f>
        <v>40.401166769230763</v>
      </c>
      <c r="T432" s="561">
        <f t="shared" si="560"/>
        <v>27.076243692307688</v>
      </c>
      <c r="U432" s="352">
        <f t="shared" si="554"/>
        <v>0.6</v>
      </c>
      <c r="V432" s="352">
        <f t="shared" si="555"/>
        <v>0.93075000000000008</v>
      </c>
      <c r="W432" s="352">
        <f t="shared" si="556"/>
        <v>176.8425</v>
      </c>
      <c r="X432" s="142"/>
      <c r="Y432" s="561">
        <f t="shared" si="557"/>
        <v>290.63256221538467</v>
      </c>
      <c r="Z432" s="142"/>
      <c r="AA432" s="352" t="str">
        <f t="shared" si="558"/>
        <v>ako18e_Bindestald med riste - gylle</v>
      </c>
      <c r="AB432" s="142"/>
    </row>
    <row r="433" spans="3:28" x14ac:dyDescent="0.25">
      <c r="C433" s="311"/>
      <c r="D433" s="311"/>
      <c r="E433" s="311"/>
      <c r="F433" s="311"/>
      <c r="G433" s="311"/>
      <c r="H433" s="311"/>
      <c r="I433" s="311"/>
      <c r="J433" s="311"/>
      <c r="K433" s="311"/>
      <c r="O433" s="662"/>
      <c r="P433" s="663"/>
      <c r="Q433" s="352" t="str">
        <f t="shared" ref="Q433:R433" si="561">C415</f>
        <v>Sengestald med fast gulv</v>
      </c>
      <c r="R433" s="352" t="str">
        <f t="shared" si="561"/>
        <v>gylle</v>
      </c>
      <c r="S433" s="561">
        <f t="shared" ref="S433:T433" si="562">E415*$P$430</f>
        <v>40.401166769230763</v>
      </c>
      <c r="T433" s="561">
        <f t="shared" si="562"/>
        <v>27.076243692307688</v>
      </c>
      <c r="U433" s="352">
        <f t="shared" si="554"/>
        <v>0.2</v>
      </c>
      <c r="V433" s="352">
        <f t="shared" si="555"/>
        <v>0.31025000000000003</v>
      </c>
      <c r="W433" s="352">
        <f t="shared" si="556"/>
        <v>58.947500000000005</v>
      </c>
      <c r="X433" s="142"/>
      <c r="Y433" s="561">
        <f t="shared" si="557"/>
        <v>290.63256221538467</v>
      </c>
      <c r="Z433" s="142"/>
      <c r="AA433" s="352" t="str">
        <f t="shared" si="558"/>
        <v>ako18e_Sengestald med fast gulv - gylle</v>
      </c>
      <c r="AB433" s="142"/>
    </row>
    <row r="434" spans="3:28" x14ac:dyDescent="0.25">
      <c r="C434" s="311"/>
      <c r="D434" s="311"/>
      <c r="E434" s="311"/>
      <c r="F434" s="311"/>
      <c r="G434" s="311"/>
      <c r="H434" s="311"/>
      <c r="I434" s="311"/>
      <c r="J434" s="311"/>
      <c r="K434" s="311"/>
      <c r="O434" s="662"/>
      <c r="P434" s="663"/>
      <c r="Q434" s="352" t="str">
        <f t="shared" ref="Q434:R434" si="563">C416</f>
        <v>Sengestald med spaltegulv (kanal, line- spil)</v>
      </c>
      <c r="R434" s="352" t="str">
        <f t="shared" si="563"/>
        <v>gylle</v>
      </c>
      <c r="S434" s="561">
        <f t="shared" ref="S434:T434" si="564">E416*$P$430</f>
        <v>40.401166769230763</v>
      </c>
      <c r="T434" s="561">
        <f t="shared" si="564"/>
        <v>27.076243692307688</v>
      </c>
      <c r="U434" s="352">
        <f t="shared" si="554"/>
        <v>0.2</v>
      </c>
      <c r="V434" s="352">
        <f t="shared" si="555"/>
        <v>0.31025000000000003</v>
      </c>
      <c r="W434" s="352">
        <f t="shared" si="556"/>
        <v>58.947500000000005</v>
      </c>
      <c r="X434" s="142"/>
      <c r="Y434" s="561">
        <f t="shared" si="557"/>
        <v>290.63256221538467</v>
      </c>
      <c r="Z434" s="142"/>
      <c r="AA434" s="352" t="str">
        <f t="shared" si="558"/>
        <v>ako18e_Sengestald med spaltegulv (kanal, line- spil) - gylle</v>
      </c>
      <c r="AB434" s="142"/>
    </row>
    <row r="435" spans="3:28" x14ac:dyDescent="0.25">
      <c r="C435" s="311"/>
      <c r="D435" s="311"/>
      <c r="E435" s="311"/>
      <c r="F435" s="311"/>
      <c r="G435" s="311"/>
      <c r="H435" s="311"/>
      <c r="I435" s="311"/>
      <c r="J435" s="311"/>
      <c r="K435" s="311"/>
      <c r="O435" s="662"/>
      <c r="P435" s="663"/>
      <c r="Q435" s="352" t="str">
        <f t="shared" ref="Q435:R435" si="565">C417</f>
        <v>Sengestald med spaltegulv (kanal, bagskyl eller ringkanal)</v>
      </c>
      <c r="R435" s="352" t="str">
        <f t="shared" si="565"/>
        <v>gylle</v>
      </c>
      <c r="S435" s="561">
        <f t="shared" ref="S435:T435" si="566">E417*$P$430</f>
        <v>40.401166769230763</v>
      </c>
      <c r="T435" s="561">
        <f t="shared" si="566"/>
        <v>27.076243692307688</v>
      </c>
      <c r="U435" s="352">
        <f t="shared" si="554"/>
        <v>0.2</v>
      </c>
      <c r="V435" s="352">
        <f t="shared" si="555"/>
        <v>0.31025000000000003</v>
      </c>
      <c r="W435" s="352">
        <f t="shared" si="556"/>
        <v>58.947500000000005</v>
      </c>
      <c r="X435" s="142"/>
      <c r="Y435" s="561">
        <f t="shared" si="557"/>
        <v>290.63256221538467</v>
      </c>
      <c r="Z435" s="142"/>
      <c r="AA435" s="352" t="str">
        <f t="shared" si="558"/>
        <v>ako18e_Sengestald med spaltegulv (kanal, bagskyl eller ringkanal) - gylle</v>
      </c>
      <c r="AB435" s="142"/>
    </row>
    <row r="436" spans="3:28" x14ac:dyDescent="0.25">
      <c r="C436" s="311"/>
      <c r="D436" s="311"/>
      <c r="E436" s="311"/>
      <c r="F436" s="311"/>
      <c r="G436" s="311"/>
      <c r="H436" s="311"/>
      <c r="I436" s="311"/>
      <c r="J436" s="311"/>
      <c r="K436" s="311"/>
      <c r="O436" s="662"/>
      <c r="P436" s="663"/>
      <c r="Q436" s="352" t="str">
        <f t="shared" ref="Q436:R436" si="567">C418</f>
        <v>Sengestald, fast drænet gulv med skra- ber og ajleafløb *)</v>
      </c>
      <c r="R436" s="352" t="str">
        <f t="shared" si="567"/>
        <v>gylle</v>
      </c>
      <c r="S436" s="561">
        <f t="shared" ref="S436:T436" si="568">E418*$P$430</f>
        <v>40.401166769230763</v>
      </c>
      <c r="T436" s="561">
        <f t="shared" si="568"/>
        <v>27.076243692307688</v>
      </c>
      <c r="U436" s="352">
        <f t="shared" si="554"/>
        <v>0.2</v>
      </c>
      <c r="V436" s="352">
        <f t="shared" si="555"/>
        <v>0.31025000000000003</v>
      </c>
      <c r="W436" s="352">
        <f t="shared" si="556"/>
        <v>58.947500000000005</v>
      </c>
      <c r="X436" s="142"/>
      <c r="Y436" s="561">
        <f t="shared" si="557"/>
        <v>290.63256221538467</v>
      </c>
      <c r="Z436" s="142"/>
      <c r="AA436" s="352" t="str">
        <f t="shared" si="558"/>
        <v>ako18e_Sengestald, fast drænet gulv med skra- ber og ajleafløb *) - gylle</v>
      </c>
      <c r="AB436" s="142"/>
    </row>
    <row r="437" spans="3:28" x14ac:dyDescent="0.25">
      <c r="C437" s="311"/>
      <c r="D437" s="311"/>
      <c r="E437" s="311"/>
      <c r="F437" s="311"/>
      <c r="G437" s="311"/>
      <c r="H437" s="311"/>
      <c r="I437" s="311"/>
      <c r="J437" s="311"/>
      <c r="K437" s="311"/>
      <c r="O437" s="662"/>
      <c r="P437" s="663"/>
      <c r="Q437" s="352" t="str">
        <f t="shared" ref="Q437:R437" si="569">C419</f>
        <v>Dybstrøelse, hele arealet</v>
      </c>
      <c r="R437" s="352" t="str">
        <f t="shared" si="569"/>
        <v>dybstrøelse</v>
      </c>
      <c r="S437" s="561">
        <f t="shared" ref="S437:T437" si="570">E419*$P$430</f>
        <v>40.401166769230763</v>
      </c>
      <c r="T437" s="561">
        <f t="shared" si="570"/>
        <v>0</v>
      </c>
      <c r="U437" s="352">
        <f t="shared" si="554"/>
        <v>5</v>
      </c>
      <c r="V437" s="352">
        <f t="shared" si="555"/>
        <v>7.7562500000000005</v>
      </c>
      <c r="W437" s="352">
        <f t="shared" si="556"/>
        <v>1473.6874999999998</v>
      </c>
      <c r="X437" s="142"/>
      <c r="Y437" s="561">
        <f t="shared" si="557"/>
        <v>290.63256221538467</v>
      </c>
      <c r="Z437" s="142"/>
      <c r="AA437" s="352" t="str">
        <f t="shared" si="558"/>
        <v>ako18e_Dybstrøelse, hele arealet - dybstrøelse</v>
      </c>
      <c r="AB437" s="142"/>
    </row>
    <row r="438" spans="3:28" x14ac:dyDescent="0.25">
      <c r="C438" s="311"/>
      <c r="D438" s="311"/>
      <c r="E438" s="311"/>
      <c r="F438" s="311"/>
      <c r="G438" s="311"/>
      <c r="H438" s="311"/>
      <c r="I438" s="311"/>
      <c r="J438" s="311"/>
      <c r="K438" s="311"/>
      <c r="O438" s="662"/>
      <c r="P438" s="663"/>
      <c r="Q438" s="352" t="str">
        <f t="shared" ref="Q438:R438" si="571">C420</f>
        <v>Dybstrøelse + kort ædeplads med fast gulv</v>
      </c>
      <c r="R438" s="352" t="str">
        <f t="shared" si="571"/>
        <v>dybstrøelse</v>
      </c>
      <c r="S438" s="561">
        <f t="shared" ref="S438:T438" si="572">E420*$P$430</f>
        <v>40.401166769230763</v>
      </c>
      <c r="T438" s="561">
        <f t="shared" si="572"/>
        <v>0</v>
      </c>
      <c r="U438" s="352">
        <f t="shared" si="554"/>
        <v>4</v>
      </c>
      <c r="V438" s="352">
        <f t="shared" si="555"/>
        <v>6.2050000000000001</v>
      </c>
      <c r="W438" s="352">
        <f t="shared" si="556"/>
        <v>1178.95</v>
      </c>
      <c r="X438" s="142"/>
      <c r="Y438" s="561">
        <f t="shared" si="557"/>
        <v>290.63256221538467</v>
      </c>
      <c r="Z438" s="142"/>
      <c r="AA438" s="352" t="str">
        <f t="shared" si="558"/>
        <v>ako18e_Dybstrøelse + kort ædeplads med fast gulv - dybstrøelse</v>
      </c>
      <c r="AB438" s="142"/>
    </row>
    <row r="439" spans="3:28" x14ac:dyDescent="0.25">
      <c r="C439" s="311"/>
      <c r="D439" s="311"/>
      <c r="E439" s="311"/>
      <c r="F439" s="311"/>
      <c r="G439" s="311"/>
      <c r="H439" s="311"/>
      <c r="I439" s="311"/>
      <c r="J439" s="311"/>
      <c r="K439" s="311"/>
      <c r="O439" s="662"/>
      <c r="P439" s="663"/>
      <c r="Q439" s="352" t="str">
        <f t="shared" ref="Q439:R439" si="573">C421</f>
        <v>Dybstrøelse, lang ædeplads med fast gulv</v>
      </c>
      <c r="R439" s="352" t="str">
        <f t="shared" si="573"/>
        <v>dybstrøelse</v>
      </c>
      <c r="S439" s="561">
        <f t="shared" ref="S439:T439" si="574">E421*$P$430</f>
        <v>24.240700061538458</v>
      </c>
      <c r="T439" s="561">
        <f t="shared" si="574"/>
        <v>0</v>
      </c>
      <c r="U439" s="352">
        <f t="shared" si="554"/>
        <v>4</v>
      </c>
      <c r="V439" s="352">
        <f t="shared" si="555"/>
        <v>6.2050000000000001</v>
      </c>
      <c r="W439" s="352">
        <f t="shared" si="556"/>
        <v>1178.95</v>
      </c>
      <c r="X439" s="142"/>
      <c r="Y439" s="561">
        <f t="shared" si="557"/>
        <v>174.3795373292308</v>
      </c>
      <c r="Z439" s="142"/>
      <c r="AA439" s="352" t="str">
        <f t="shared" si="558"/>
        <v>ako18e_Dybstrøelse, lang ædeplads med fast gulv - dybstrøelse</v>
      </c>
      <c r="AB439" s="142"/>
    </row>
    <row r="440" spans="3:28" x14ac:dyDescent="0.25">
      <c r="C440" s="311"/>
      <c r="D440" s="311"/>
      <c r="E440" s="311"/>
      <c r="F440" s="311"/>
      <c r="G440" s="311"/>
      <c r="H440" s="311"/>
      <c r="I440" s="311"/>
      <c r="J440" s="311"/>
      <c r="K440" s="311"/>
      <c r="O440" s="662"/>
      <c r="P440" s="663"/>
      <c r="Q440" s="352" t="str">
        <f t="shared" ref="Q440:R440" si="575">C422</f>
        <v>Dybstrøelse, lang ædeplads med fast gulv</v>
      </c>
      <c r="R440" s="352" t="str">
        <f t="shared" si="575"/>
        <v>gylle</v>
      </c>
      <c r="S440" s="561">
        <f t="shared" ref="S440:T440" si="576">E422*$P$430</f>
        <v>16.160466707692308</v>
      </c>
      <c r="T440" s="561">
        <f t="shared" si="576"/>
        <v>10.830497476923076</v>
      </c>
      <c r="U440" s="352">
        <f t="shared" si="554"/>
        <v>0</v>
      </c>
      <c r="V440" s="352">
        <f t="shared" si="555"/>
        <v>0</v>
      </c>
      <c r="W440" s="352">
        <f t="shared" si="556"/>
        <v>0</v>
      </c>
      <c r="X440" s="142"/>
      <c r="Y440" s="561">
        <f t="shared" si="557"/>
        <v>116.25302488615387</v>
      </c>
      <c r="Z440" s="142"/>
      <c r="AA440" s="352" t="str">
        <f t="shared" si="558"/>
        <v>ako18e_Dybstrøelse, lang ædeplads med fast gulv - gylle</v>
      </c>
      <c r="AB440" s="142"/>
    </row>
    <row r="441" spans="3:28" x14ac:dyDescent="0.25">
      <c r="C441" s="311"/>
      <c r="D441" s="311"/>
      <c r="E441" s="311"/>
      <c r="F441" s="311"/>
      <c r="G441" s="311"/>
      <c r="H441" s="311"/>
      <c r="I441" s="311"/>
      <c r="J441" s="311"/>
      <c r="K441" s="311"/>
      <c r="O441" s="662"/>
      <c r="P441" s="663"/>
      <c r="Q441" s="352" t="str">
        <f t="shared" ref="Q441:R441" si="577">C423</f>
        <v>Dybstrøelse, lang ædeplads med spalter (kanal, linespil)</v>
      </c>
      <c r="R441" s="352" t="str">
        <f t="shared" si="577"/>
        <v>dybstrøelse</v>
      </c>
      <c r="S441" s="561">
        <f t="shared" ref="S441:T441" si="578">E423*$P$430</f>
        <v>24.240700061538458</v>
      </c>
      <c r="T441" s="561">
        <f t="shared" si="578"/>
        <v>0</v>
      </c>
      <c r="U441" s="352">
        <f t="shared" si="554"/>
        <v>4</v>
      </c>
      <c r="V441" s="352">
        <f t="shared" si="555"/>
        <v>6.2050000000000001</v>
      </c>
      <c r="W441" s="352">
        <f t="shared" si="556"/>
        <v>1178.95</v>
      </c>
      <c r="X441" s="142"/>
      <c r="Y441" s="561">
        <f t="shared" si="557"/>
        <v>174.3795373292308</v>
      </c>
      <c r="Z441" s="142"/>
      <c r="AA441" s="352" t="str">
        <f t="shared" si="558"/>
        <v>ako18e_Dybstrøelse, lang ædeplads med spalter (kanal, linespil) - dybstrøelse</v>
      </c>
      <c r="AB441" s="142"/>
    </row>
    <row r="442" spans="3:28" x14ac:dyDescent="0.25">
      <c r="C442" s="311"/>
      <c r="D442" s="311"/>
      <c r="E442" s="311"/>
      <c r="F442" s="311"/>
      <c r="G442" s="311"/>
      <c r="H442" s="311"/>
      <c r="I442" s="311"/>
      <c r="J442" s="311"/>
      <c r="K442" s="311"/>
      <c r="O442" s="662"/>
      <c r="P442" s="663"/>
      <c r="Q442" s="352" t="str">
        <f t="shared" ref="Q442:R442" si="579">C424</f>
        <v>Dybstrøelse, lang ædeplads med spalter (kanal, linespil)</v>
      </c>
      <c r="R442" s="352" t="str">
        <f t="shared" si="579"/>
        <v>gylle</v>
      </c>
      <c r="S442" s="561">
        <f t="shared" ref="S442:T442" si="580">E424*$P$430</f>
        <v>16.160466707692308</v>
      </c>
      <c r="T442" s="561">
        <f t="shared" si="580"/>
        <v>10.830497476923076</v>
      </c>
      <c r="U442" s="352">
        <f t="shared" si="554"/>
        <v>0</v>
      </c>
      <c r="V442" s="352">
        <f t="shared" si="555"/>
        <v>0</v>
      </c>
      <c r="W442" s="352">
        <f t="shared" si="556"/>
        <v>0</v>
      </c>
      <c r="X442" s="142"/>
      <c r="Y442" s="561">
        <f t="shared" si="557"/>
        <v>116.25302488615387</v>
      </c>
      <c r="Z442" s="142"/>
      <c r="AA442" s="352" t="str">
        <f t="shared" si="558"/>
        <v>ako18e_Dybstrøelse, lang ædeplads med spalter (kanal, linespil) - gylle</v>
      </c>
      <c r="AB442" s="142"/>
    </row>
    <row r="443" spans="3:28" x14ac:dyDescent="0.25">
      <c r="C443" s="311"/>
      <c r="D443" s="311"/>
      <c r="E443" s="311"/>
      <c r="F443" s="311"/>
      <c r="G443" s="311"/>
      <c r="H443" s="311"/>
      <c r="I443" s="311"/>
      <c r="J443" s="311"/>
      <c r="K443" s="311"/>
      <c r="O443" s="662"/>
      <c r="P443" s="663"/>
      <c r="Q443" s="352" t="str">
        <f t="shared" ref="Q443:R443" si="581">C425</f>
        <v>Dybstrøelse, lang ædeplads med spalter (kanal, bagskyl eller ringkanal)</v>
      </c>
      <c r="R443" s="352" t="str">
        <f t="shared" si="581"/>
        <v>dybstrøelse</v>
      </c>
      <c r="S443" s="561">
        <f t="shared" ref="S443:T443" si="582">E425*$P$430</f>
        <v>24.240700061538458</v>
      </c>
      <c r="T443" s="561">
        <f t="shared" si="582"/>
        <v>0</v>
      </c>
      <c r="U443" s="352">
        <f t="shared" si="554"/>
        <v>4</v>
      </c>
      <c r="V443" s="352">
        <f t="shared" si="555"/>
        <v>6.2050000000000001</v>
      </c>
      <c r="W443" s="352">
        <f t="shared" si="556"/>
        <v>1178.95</v>
      </c>
      <c r="X443" s="142"/>
      <c r="Y443" s="561">
        <f t="shared" si="557"/>
        <v>174.3795373292308</v>
      </c>
      <c r="Z443" s="142"/>
      <c r="AA443" s="352" t="str">
        <f t="shared" si="558"/>
        <v>ako18e_Dybstrøelse, lang ædeplads med spalter (kanal, bagskyl eller ringkanal) - dybstrøelse</v>
      </c>
      <c r="AB443" s="142"/>
    </row>
    <row r="444" spans="3:28" x14ac:dyDescent="0.25">
      <c r="C444" s="311"/>
      <c r="D444" s="311"/>
      <c r="E444" s="311"/>
      <c r="F444" s="311"/>
      <c r="G444" s="311"/>
      <c r="H444" s="311"/>
      <c r="I444" s="311"/>
      <c r="J444" s="311"/>
      <c r="K444" s="311"/>
      <c r="O444" s="662"/>
      <c r="P444" s="663"/>
      <c r="Q444" s="352" t="str">
        <f t="shared" ref="Q444:R444" si="583">C426</f>
        <v>Dybstrøelse, lang ædeplads med spalter (kanal, bagskyl eller ringkanal)</v>
      </c>
      <c r="R444" s="352" t="str">
        <f t="shared" si="583"/>
        <v>gylle</v>
      </c>
      <c r="S444" s="561">
        <f t="shared" ref="S444:T444" si="584">E426*$P$430</f>
        <v>16.160466707692308</v>
      </c>
      <c r="T444" s="561">
        <f t="shared" si="584"/>
        <v>10.830497476923076</v>
      </c>
      <c r="U444" s="352">
        <f t="shared" si="554"/>
        <v>0</v>
      </c>
      <c r="V444" s="352">
        <f t="shared" si="555"/>
        <v>0</v>
      </c>
      <c r="W444" s="352">
        <f t="shared" si="556"/>
        <v>0</v>
      </c>
      <c r="X444" s="142"/>
      <c r="Y444" s="561">
        <f t="shared" si="557"/>
        <v>116.25302488615387</v>
      </c>
      <c r="Z444" s="142"/>
      <c r="AA444" s="352" t="str">
        <f t="shared" si="558"/>
        <v>ako18e_Dybstrøelse, lang ædeplads med spalter (kanal, bagskyl eller ringkanal) - gylle</v>
      </c>
      <c r="AB444" s="142"/>
    </row>
    <row r="445" spans="3:28" x14ac:dyDescent="0.25">
      <c r="C445" s="311"/>
      <c r="D445" s="311"/>
      <c r="E445" s="311"/>
      <c r="F445" s="311"/>
      <c r="G445" s="311"/>
      <c r="H445" s="311"/>
      <c r="I445" s="311"/>
      <c r="J445" s="311"/>
      <c r="K445" s="311"/>
      <c r="O445" s="662"/>
      <c r="P445" s="663"/>
      <c r="Q445" s="352" t="str">
        <f t="shared" ref="Q445:R445" si="585">C427</f>
        <v>Spaltegulvbokse</v>
      </c>
      <c r="R445" s="352" t="str">
        <f t="shared" si="585"/>
        <v>gylle</v>
      </c>
      <c r="S445" s="561">
        <f t="shared" ref="S445:T445" si="586">E427*$P$430</f>
        <v>40.401166769230763</v>
      </c>
      <c r="T445" s="561">
        <f t="shared" si="586"/>
        <v>27.076243692307688</v>
      </c>
      <c r="U445" s="352">
        <f t="shared" si="554"/>
        <v>0</v>
      </c>
      <c r="V445" s="352">
        <f t="shared" si="555"/>
        <v>0</v>
      </c>
      <c r="W445" s="352">
        <f t="shared" si="556"/>
        <v>0</v>
      </c>
      <c r="X445" s="142"/>
      <c r="Y445" s="561">
        <f t="shared" si="557"/>
        <v>290.63256221538467</v>
      </c>
      <c r="Z445" s="142"/>
      <c r="AA445" s="352" t="str">
        <f t="shared" si="558"/>
        <v>ako18e_Spaltegulvbokse - gylle</v>
      </c>
      <c r="AB445" s="142"/>
    </row>
    <row r="446" spans="3:28" x14ac:dyDescent="0.25">
      <c r="C446" s="311"/>
      <c r="D446" s="311"/>
      <c r="E446" s="311"/>
      <c r="F446" s="311"/>
      <c r="G446" s="311"/>
      <c r="H446" s="311"/>
      <c r="I446" s="311"/>
      <c r="J446" s="311"/>
      <c r="K446" s="311"/>
      <c r="O446" s="662"/>
      <c r="P446" s="663"/>
      <c r="Q446" s="352"/>
      <c r="R446" s="352"/>
      <c r="S446" s="561"/>
      <c r="T446" s="561"/>
      <c r="U446" s="352"/>
      <c r="V446" s="352"/>
      <c r="W446" s="352"/>
      <c r="X446" s="142"/>
      <c r="Y446" s="561"/>
      <c r="Z446" s="142"/>
      <c r="AA446" s="352"/>
    </row>
    <row r="447" spans="3:28" x14ac:dyDescent="0.25">
      <c r="C447" s="311"/>
      <c r="D447" s="311"/>
      <c r="E447" s="311"/>
      <c r="F447" s="311"/>
      <c r="G447" s="311"/>
      <c r="H447" s="311"/>
      <c r="I447" s="311"/>
      <c r="J447" s="311"/>
      <c r="K447" s="311"/>
      <c r="N447" s="134" t="str">
        <f>C410</f>
        <v xml:space="preserve">Årsopdræt 6 mdr. til kælvning (25 mdr) (kvier og stude), jersey </v>
      </c>
      <c r="O447" s="662"/>
      <c r="P447" s="663"/>
      <c r="Q447" s="353" t="s">
        <v>479</v>
      </c>
      <c r="R447" s="354"/>
      <c r="S447" s="561">
        <f>E411*$P$448</f>
        <v>40.804189538461536</v>
      </c>
      <c r="T447" s="561">
        <f>F411*$P$448</f>
        <v>27.346343384615384</v>
      </c>
      <c r="U447" s="352"/>
      <c r="V447" s="352"/>
      <c r="W447" s="352"/>
      <c r="X447" s="142"/>
      <c r="Y447" s="561">
        <f>K411*$P$448</f>
        <v>293.53177403076927</v>
      </c>
      <c r="Z447" s="142"/>
      <c r="AA447" s="352"/>
    </row>
    <row r="448" spans="3:28" x14ac:dyDescent="0.25">
      <c r="C448" s="311"/>
      <c r="D448" s="311"/>
      <c r="E448" s="311"/>
      <c r="F448" s="311"/>
      <c r="G448" s="311"/>
      <c r="H448" s="311"/>
      <c r="I448" s="311"/>
      <c r="J448" s="311"/>
      <c r="K448" s="311"/>
      <c r="O448" s="662" t="s">
        <v>308</v>
      </c>
      <c r="P448" s="663">
        <f>(((6 + 29.4) * 0.0576) + 1.46) /3.25</f>
        <v>1.0766276923076923</v>
      </c>
      <c r="Q448" s="352" t="str">
        <f>C412</f>
        <v>Bindestald med grebning</v>
      </c>
      <c r="R448" s="352" t="str">
        <f>D412</f>
        <v>fast gødning</v>
      </c>
      <c r="S448" s="561">
        <f>E412*$P$448</f>
        <v>24.48251372307692</v>
      </c>
      <c r="T448" s="561">
        <f>F412*$P$448</f>
        <v>16.40780603076923</v>
      </c>
      <c r="U448" s="352">
        <f t="shared" ref="U448:W448" si="587">G412</f>
        <v>0.6</v>
      </c>
      <c r="V448" s="352">
        <f t="shared" si="587"/>
        <v>0.93075000000000008</v>
      </c>
      <c r="W448" s="352">
        <f t="shared" si="587"/>
        <v>176.8425</v>
      </c>
      <c r="X448" s="142"/>
      <c r="Y448" s="561">
        <f>K412*$P$448</f>
        <v>176.11906441846156</v>
      </c>
      <c r="Z448" s="142"/>
      <c r="AA448" s="352" t="str">
        <f>$O$448&amp;"_"&amp;Q448&amp;" - "&amp;R448</f>
        <v>atse_Bindestald med grebning - fast gødning</v>
      </c>
    </row>
    <row r="449" spans="3:27" x14ac:dyDescent="0.25">
      <c r="C449" s="311"/>
      <c r="D449" s="311"/>
      <c r="E449" s="311"/>
      <c r="F449" s="311"/>
      <c r="G449" s="311"/>
      <c r="H449" s="311"/>
      <c r="I449" s="311"/>
      <c r="J449" s="311"/>
      <c r="K449" s="311"/>
      <c r="O449" s="664" t="s">
        <v>491</v>
      </c>
      <c r="P449" s="663"/>
      <c r="Q449" s="352" t="str">
        <f t="shared" ref="Q449:R449" si="588">C413</f>
        <v>Bindestald med grebning</v>
      </c>
      <c r="R449" s="352" t="str">
        <f t="shared" si="588"/>
        <v>ajle</v>
      </c>
      <c r="S449" s="561">
        <f t="shared" ref="S449:T449" si="589">E413*$P$448</f>
        <v>16.321675815384616</v>
      </c>
      <c r="T449" s="561">
        <f t="shared" si="589"/>
        <v>10.938537353846154</v>
      </c>
      <c r="U449" s="352">
        <f t="shared" ref="U449:U463" si="590">G413</f>
        <v>0</v>
      </c>
      <c r="V449" s="352">
        <f t="shared" ref="V449:V463" si="591">H413</f>
        <v>0</v>
      </c>
      <c r="W449" s="352">
        <f t="shared" ref="W449:W463" si="592">I413</f>
        <v>0</v>
      </c>
      <c r="X449" s="142"/>
      <c r="Y449" s="561">
        <f t="shared" ref="Y449:Y463" si="593">K413*$P$448</f>
        <v>117.41270961230772</v>
      </c>
      <c r="Z449" s="142"/>
      <c r="AA449" s="352" t="str">
        <f t="shared" ref="AA449:AA463" si="594">$O$448&amp;"_"&amp;Q449&amp;" - "&amp;R449</f>
        <v>atse_Bindestald med grebning - ajle</v>
      </c>
    </row>
    <row r="450" spans="3:27" x14ac:dyDescent="0.25">
      <c r="C450" s="311"/>
      <c r="D450" s="311"/>
      <c r="E450" s="311"/>
      <c r="F450" s="311"/>
      <c r="G450" s="311"/>
      <c r="H450" s="311"/>
      <c r="I450" s="311"/>
      <c r="J450" s="311"/>
      <c r="K450" s="311"/>
      <c r="O450" s="662"/>
      <c r="P450" s="663"/>
      <c r="Q450" s="352" t="str">
        <f t="shared" ref="Q450:R450" si="595">C414</f>
        <v>Bindestald med riste</v>
      </c>
      <c r="R450" s="352" t="str">
        <f t="shared" si="595"/>
        <v>gylle</v>
      </c>
      <c r="S450" s="561">
        <f t="shared" ref="S450:T450" si="596">E414*$P$448</f>
        <v>40.804189538461536</v>
      </c>
      <c r="T450" s="561">
        <f t="shared" si="596"/>
        <v>27.346343384615384</v>
      </c>
      <c r="U450" s="352">
        <f t="shared" si="590"/>
        <v>0.6</v>
      </c>
      <c r="V450" s="352">
        <f t="shared" si="591"/>
        <v>0.93075000000000008</v>
      </c>
      <c r="W450" s="352">
        <f t="shared" si="592"/>
        <v>176.8425</v>
      </c>
      <c r="X450" s="142"/>
      <c r="Y450" s="561">
        <f t="shared" si="593"/>
        <v>293.53177403076927</v>
      </c>
      <c r="Z450" s="142"/>
      <c r="AA450" s="352" t="str">
        <f t="shared" si="594"/>
        <v>atse_Bindestald med riste - gylle</v>
      </c>
    </row>
    <row r="451" spans="3:27" x14ac:dyDescent="0.25">
      <c r="C451" s="311"/>
      <c r="D451" s="311"/>
      <c r="E451" s="311"/>
      <c r="F451" s="311"/>
      <c r="G451" s="311"/>
      <c r="H451" s="311"/>
      <c r="I451" s="311"/>
      <c r="J451" s="311"/>
      <c r="K451" s="311"/>
      <c r="O451" s="662"/>
      <c r="P451" s="663"/>
      <c r="Q451" s="352" t="str">
        <f t="shared" ref="Q451:R451" si="597">C415</f>
        <v>Sengestald med fast gulv</v>
      </c>
      <c r="R451" s="352" t="str">
        <f t="shared" si="597"/>
        <v>gylle</v>
      </c>
      <c r="S451" s="561">
        <f t="shared" ref="S451:T451" si="598">E415*$P$448</f>
        <v>40.804189538461536</v>
      </c>
      <c r="T451" s="561">
        <f t="shared" si="598"/>
        <v>27.346343384615384</v>
      </c>
      <c r="U451" s="352">
        <f t="shared" si="590"/>
        <v>0.2</v>
      </c>
      <c r="V451" s="352">
        <f t="shared" si="591"/>
        <v>0.31025000000000003</v>
      </c>
      <c r="W451" s="352">
        <f t="shared" si="592"/>
        <v>58.947500000000005</v>
      </c>
      <c r="X451" s="142"/>
      <c r="Y451" s="561">
        <f t="shared" si="593"/>
        <v>293.53177403076927</v>
      </c>
      <c r="Z451" s="142"/>
      <c r="AA451" s="352" t="str">
        <f t="shared" si="594"/>
        <v>atse_Sengestald med fast gulv - gylle</v>
      </c>
    </row>
    <row r="452" spans="3:27" x14ac:dyDescent="0.25">
      <c r="C452" s="311"/>
      <c r="D452" s="311"/>
      <c r="E452" s="311"/>
      <c r="F452" s="311"/>
      <c r="G452" s="311"/>
      <c r="H452" s="311"/>
      <c r="I452" s="311"/>
      <c r="J452" s="311"/>
      <c r="K452" s="311"/>
      <c r="O452" s="662"/>
      <c r="P452" s="663"/>
      <c r="Q452" s="352" t="str">
        <f t="shared" ref="Q452:R452" si="599">C416</f>
        <v>Sengestald med spaltegulv (kanal, line- spil)</v>
      </c>
      <c r="R452" s="352" t="str">
        <f t="shared" si="599"/>
        <v>gylle</v>
      </c>
      <c r="S452" s="561">
        <f t="shared" ref="S452:T452" si="600">E416*$P$448</f>
        <v>40.804189538461536</v>
      </c>
      <c r="T452" s="561">
        <f t="shared" si="600"/>
        <v>27.346343384615384</v>
      </c>
      <c r="U452" s="352">
        <f t="shared" si="590"/>
        <v>0.2</v>
      </c>
      <c r="V452" s="352">
        <f t="shared" si="591"/>
        <v>0.31025000000000003</v>
      </c>
      <c r="W452" s="352">
        <f t="shared" si="592"/>
        <v>58.947500000000005</v>
      </c>
      <c r="X452" s="142"/>
      <c r="Y452" s="561">
        <f t="shared" si="593"/>
        <v>293.53177403076927</v>
      </c>
      <c r="Z452" s="142"/>
      <c r="AA452" s="352" t="str">
        <f t="shared" si="594"/>
        <v>atse_Sengestald med spaltegulv (kanal, line- spil) - gylle</v>
      </c>
    </row>
    <row r="453" spans="3:27" x14ac:dyDescent="0.25">
      <c r="C453" s="311"/>
      <c r="D453" s="311"/>
      <c r="E453" s="311"/>
      <c r="F453" s="311"/>
      <c r="G453" s="311"/>
      <c r="H453" s="311"/>
      <c r="I453" s="311"/>
      <c r="J453" s="311"/>
      <c r="K453" s="311"/>
      <c r="O453" s="662"/>
      <c r="P453" s="663"/>
      <c r="Q453" s="352" t="str">
        <f t="shared" ref="Q453:R453" si="601">C417</f>
        <v>Sengestald med spaltegulv (kanal, bagskyl eller ringkanal)</v>
      </c>
      <c r="R453" s="352" t="str">
        <f t="shared" si="601"/>
        <v>gylle</v>
      </c>
      <c r="S453" s="561">
        <f t="shared" ref="S453:T453" si="602">E417*$P$448</f>
        <v>40.804189538461536</v>
      </c>
      <c r="T453" s="561">
        <f t="shared" si="602"/>
        <v>27.346343384615384</v>
      </c>
      <c r="U453" s="352">
        <f t="shared" si="590"/>
        <v>0.2</v>
      </c>
      <c r="V453" s="352">
        <f t="shared" si="591"/>
        <v>0.31025000000000003</v>
      </c>
      <c r="W453" s="352">
        <f t="shared" si="592"/>
        <v>58.947500000000005</v>
      </c>
      <c r="X453" s="142"/>
      <c r="Y453" s="561">
        <f t="shared" si="593"/>
        <v>293.53177403076927</v>
      </c>
      <c r="Z453" s="142"/>
      <c r="AA453" s="352" t="str">
        <f t="shared" si="594"/>
        <v>atse_Sengestald med spaltegulv (kanal, bagskyl eller ringkanal) - gylle</v>
      </c>
    </row>
    <row r="454" spans="3:27" x14ac:dyDescent="0.25">
      <c r="C454" s="311"/>
      <c r="D454" s="311"/>
      <c r="E454" s="311"/>
      <c r="F454" s="311"/>
      <c r="G454" s="311"/>
      <c r="H454" s="311"/>
      <c r="I454" s="311"/>
      <c r="J454" s="311"/>
      <c r="K454" s="311"/>
      <c r="O454" s="662"/>
      <c r="P454" s="663"/>
      <c r="Q454" s="352" t="str">
        <f t="shared" ref="Q454:R454" si="603">C418</f>
        <v>Sengestald, fast drænet gulv med skra- ber og ajleafløb *)</v>
      </c>
      <c r="R454" s="352" t="str">
        <f t="shared" si="603"/>
        <v>gylle</v>
      </c>
      <c r="S454" s="561">
        <f t="shared" ref="S454:T454" si="604">E418*$P$448</f>
        <v>40.804189538461536</v>
      </c>
      <c r="T454" s="561">
        <f t="shared" si="604"/>
        <v>27.346343384615384</v>
      </c>
      <c r="U454" s="352">
        <f t="shared" si="590"/>
        <v>0.2</v>
      </c>
      <c r="V454" s="352">
        <f t="shared" si="591"/>
        <v>0.31025000000000003</v>
      </c>
      <c r="W454" s="352">
        <f t="shared" si="592"/>
        <v>58.947500000000005</v>
      </c>
      <c r="X454" s="142"/>
      <c r="Y454" s="561">
        <f t="shared" si="593"/>
        <v>293.53177403076927</v>
      </c>
      <c r="Z454" s="142"/>
      <c r="AA454" s="352" t="str">
        <f t="shared" si="594"/>
        <v>atse_Sengestald, fast drænet gulv med skra- ber og ajleafløb *) - gylle</v>
      </c>
    </row>
    <row r="455" spans="3:27" x14ac:dyDescent="0.25">
      <c r="C455" s="311"/>
      <c r="D455" s="311"/>
      <c r="E455" s="311"/>
      <c r="F455" s="311"/>
      <c r="G455" s="311"/>
      <c r="H455" s="311"/>
      <c r="I455" s="311"/>
      <c r="J455" s="311"/>
      <c r="K455" s="311"/>
      <c r="O455" s="662"/>
      <c r="P455" s="663"/>
      <c r="Q455" s="352" t="str">
        <f t="shared" ref="Q455:R455" si="605">C419</f>
        <v>Dybstrøelse, hele arealet</v>
      </c>
      <c r="R455" s="352" t="str">
        <f t="shared" si="605"/>
        <v>dybstrøelse</v>
      </c>
      <c r="S455" s="561">
        <f t="shared" ref="S455:T455" si="606">E419*$P$448</f>
        <v>40.804189538461536</v>
      </c>
      <c r="T455" s="561">
        <f t="shared" si="606"/>
        <v>0</v>
      </c>
      <c r="U455" s="352">
        <f t="shared" si="590"/>
        <v>5</v>
      </c>
      <c r="V455" s="352">
        <f t="shared" si="591"/>
        <v>7.7562500000000005</v>
      </c>
      <c r="W455" s="352">
        <f t="shared" si="592"/>
        <v>1473.6874999999998</v>
      </c>
      <c r="X455" s="142"/>
      <c r="Y455" s="561">
        <f t="shared" si="593"/>
        <v>293.53177403076927</v>
      </c>
      <c r="Z455" s="142"/>
      <c r="AA455" s="352" t="str">
        <f t="shared" si="594"/>
        <v>atse_Dybstrøelse, hele arealet - dybstrøelse</v>
      </c>
    </row>
    <row r="456" spans="3:27" x14ac:dyDescent="0.25">
      <c r="C456" s="311"/>
      <c r="D456" s="311"/>
      <c r="E456" s="311"/>
      <c r="F456" s="311"/>
      <c r="G456" s="311"/>
      <c r="H456" s="311"/>
      <c r="I456" s="311"/>
      <c r="J456" s="311"/>
      <c r="K456" s="311"/>
      <c r="O456" s="662"/>
      <c r="P456" s="663"/>
      <c r="Q456" s="352" t="str">
        <f t="shared" ref="Q456:R456" si="607">C420</f>
        <v>Dybstrøelse + kort ædeplads med fast gulv</v>
      </c>
      <c r="R456" s="352" t="str">
        <f t="shared" si="607"/>
        <v>dybstrøelse</v>
      </c>
      <c r="S456" s="561">
        <f t="shared" ref="S456:T456" si="608">E420*$P$448</f>
        <v>40.804189538461536</v>
      </c>
      <c r="T456" s="561">
        <f t="shared" si="608"/>
        <v>0</v>
      </c>
      <c r="U456" s="352">
        <f t="shared" si="590"/>
        <v>4</v>
      </c>
      <c r="V456" s="352">
        <f t="shared" si="591"/>
        <v>6.2050000000000001</v>
      </c>
      <c r="W456" s="352">
        <f t="shared" si="592"/>
        <v>1178.95</v>
      </c>
      <c r="X456" s="142"/>
      <c r="Y456" s="561">
        <f t="shared" si="593"/>
        <v>293.53177403076927</v>
      </c>
      <c r="Z456" s="142"/>
      <c r="AA456" s="352" t="str">
        <f t="shared" si="594"/>
        <v>atse_Dybstrøelse + kort ædeplads med fast gulv - dybstrøelse</v>
      </c>
    </row>
    <row r="457" spans="3:27" x14ac:dyDescent="0.25">
      <c r="C457" s="311"/>
      <c r="D457" s="311"/>
      <c r="E457" s="311"/>
      <c r="F457" s="311"/>
      <c r="G457" s="311"/>
      <c r="H457" s="311"/>
      <c r="I457" s="311"/>
      <c r="J457" s="311"/>
      <c r="K457" s="311"/>
      <c r="O457" s="662"/>
      <c r="P457" s="663"/>
      <c r="Q457" s="352" t="str">
        <f t="shared" ref="Q457:R457" si="609">C421</f>
        <v>Dybstrøelse, lang ædeplads med fast gulv</v>
      </c>
      <c r="R457" s="352" t="str">
        <f t="shared" si="609"/>
        <v>dybstrøelse</v>
      </c>
      <c r="S457" s="561">
        <f t="shared" ref="S457:T457" si="610">E421*$P$448</f>
        <v>24.48251372307692</v>
      </c>
      <c r="T457" s="561">
        <f t="shared" si="610"/>
        <v>0</v>
      </c>
      <c r="U457" s="352">
        <f t="shared" si="590"/>
        <v>4</v>
      </c>
      <c r="V457" s="352">
        <f t="shared" si="591"/>
        <v>6.2050000000000001</v>
      </c>
      <c r="W457" s="352">
        <f t="shared" si="592"/>
        <v>1178.95</v>
      </c>
      <c r="X457" s="142"/>
      <c r="Y457" s="561">
        <f t="shared" si="593"/>
        <v>176.11906441846156</v>
      </c>
      <c r="Z457" s="142"/>
      <c r="AA457" s="352" t="str">
        <f t="shared" si="594"/>
        <v>atse_Dybstrøelse, lang ædeplads med fast gulv - dybstrøelse</v>
      </c>
    </row>
    <row r="458" spans="3:27" x14ac:dyDescent="0.25">
      <c r="C458" s="311"/>
      <c r="D458" s="311"/>
      <c r="E458" s="311"/>
      <c r="F458" s="311"/>
      <c r="G458" s="311"/>
      <c r="H458" s="311"/>
      <c r="I458" s="311"/>
      <c r="J458" s="311"/>
      <c r="K458" s="311"/>
      <c r="O458" s="662"/>
      <c r="P458" s="663"/>
      <c r="Q458" s="352" t="str">
        <f t="shared" ref="Q458:R458" si="611">C422</f>
        <v>Dybstrøelse, lang ædeplads med fast gulv</v>
      </c>
      <c r="R458" s="352" t="str">
        <f t="shared" si="611"/>
        <v>gylle</v>
      </c>
      <c r="S458" s="561">
        <f t="shared" ref="S458:T458" si="612">E422*$P$448</f>
        <v>16.321675815384616</v>
      </c>
      <c r="T458" s="561">
        <f t="shared" si="612"/>
        <v>10.938537353846154</v>
      </c>
      <c r="U458" s="352">
        <f t="shared" si="590"/>
        <v>0</v>
      </c>
      <c r="V458" s="352">
        <f t="shared" si="591"/>
        <v>0</v>
      </c>
      <c r="W458" s="352">
        <f t="shared" si="592"/>
        <v>0</v>
      </c>
      <c r="X458" s="142"/>
      <c r="Y458" s="561">
        <f t="shared" si="593"/>
        <v>117.41270961230772</v>
      </c>
      <c r="Z458" s="142"/>
      <c r="AA458" s="352" t="str">
        <f t="shared" si="594"/>
        <v>atse_Dybstrøelse, lang ædeplads med fast gulv - gylle</v>
      </c>
    </row>
    <row r="459" spans="3:27" x14ac:dyDescent="0.25">
      <c r="C459" s="311"/>
      <c r="D459" s="311"/>
      <c r="E459" s="311"/>
      <c r="F459" s="311"/>
      <c r="G459" s="311"/>
      <c r="H459" s="311"/>
      <c r="I459" s="311"/>
      <c r="J459" s="311"/>
      <c r="K459" s="311"/>
      <c r="O459" s="662"/>
      <c r="P459" s="663"/>
      <c r="Q459" s="352" t="str">
        <f t="shared" ref="Q459:R459" si="613">C423</f>
        <v>Dybstrøelse, lang ædeplads med spalter (kanal, linespil)</v>
      </c>
      <c r="R459" s="352" t="str">
        <f t="shared" si="613"/>
        <v>dybstrøelse</v>
      </c>
      <c r="S459" s="561">
        <f t="shared" ref="S459:T459" si="614">E423*$P$448</f>
        <v>24.48251372307692</v>
      </c>
      <c r="T459" s="561">
        <f t="shared" si="614"/>
        <v>0</v>
      </c>
      <c r="U459" s="352">
        <f t="shared" si="590"/>
        <v>4</v>
      </c>
      <c r="V459" s="352">
        <f t="shared" si="591"/>
        <v>6.2050000000000001</v>
      </c>
      <c r="W459" s="352">
        <f t="shared" si="592"/>
        <v>1178.95</v>
      </c>
      <c r="X459" s="142"/>
      <c r="Y459" s="561">
        <f t="shared" si="593"/>
        <v>176.11906441846156</v>
      </c>
      <c r="Z459" s="142"/>
      <c r="AA459" s="352" t="str">
        <f t="shared" si="594"/>
        <v>atse_Dybstrøelse, lang ædeplads med spalter (kanal, linespil) - dybstrøelse</v>
      </c>
    </row>
    <row r="460" spans="3:27" x14ac:dyDescent="0.25">
      <c r="C460" s="311"/>
      <c r="D460" s="311"/>
      <c r="E460" s="311"/>
      <c r="F460" s="311"/>
      <c r="G460" s="311"/>
      <c r="H460" s="311"/>
      <c r="I460" s="311"/>
      <c r="J460" s="311"/>
      <c r="K460" s="311"/>
      <c r="O460" s="662"/>
      <c r="P460" s="663"/>
      <c r="Q460" s="352" t="str">
        <f t="shared" ref="Q460:R460" si="615">C424</f>
        <v>Dybstrøelse, lang ædeplads med spalter (kanal, linespil)</v>
      </c>
      <c r="R460" s="352" t="str">
        <f t="shared" si="615"/>
        <v>gylle</v>
      </c>
      <c r="S460" s="561">
        <f t="shared" ref="S460:T460" si="616">E424*$P$448</f>
        <v>16.321675815384616</v>
      </c>
      <c r="T460" s="561">
        <f t="shared" si="616"/>
        <v>10.938537353846154</v>
      </c>
      <c r="U460" s="352">
        <f t="shared" si="590"/>
        <v>0</v>
      </c>
      <c r="V460" s="352">
        <f t="shared" si="591"/>
        <v>0</v>
      </c>
      <c r="W460" s="352">
        <f t="shared" si="592"/>
        <v>0</v>
      </c>
      <c r="X460" s="142"/>
      <c r="Y460" s="561">
        <f t="shared" si="593"/>
        <v>117.41270961230772</v>
      </c>
      <c r="Z460" s="142"/>
      <c r="AA460" s="352" t="str">
        <f t="shared" si="594"/>
        <v>atse_Dybstrøelse, lang ædeplads med spalter (kanal, linespil) - gylle</v>
      </c>
    </row>
    <row r="461" spans="3:27" x14ac:dyDescent="0.25">
      <c r="C461" s="311"/>
      <c r="D461" s="311"/>
      <c r="E461" s="311"/>
      <c r="F461" s="311"/>
      <c r="G461" s="311"/>
      <c r="H461" s="311"/>
      <c r="I461" s="311"/>
      <c r="J461" s="311"/>
      <c r="K461" s="311"/>
      <c r="O461" s="662"/>
      <c r="P461" s="663"/>
      <c r="Q461" s="352" t="str">
        <f t="shared" ref="Q461:R461" si="617">C425</f>
        <v>Dybstrøelse, lang ædeplads med spalter (kanal, bagskyl eller ringkanal)</v>
      </c>
      <c r="R461" s="352" t="str">
        <f t="shared" si="617"/>
        <v>dybstrøelse</v>
      </c>
      <c r="S461" s="561">
        <f t="shared" ref="S461:T461" si="618">E425*$P$448</f>
        <v>24.48251372307692</v>
      </c>
      <c r="T461" s="561">
        <f t="shared" si="618"/>
        <v>0</v>
      </c>
      <c r="U461" s="352">
        <f t="shared" si="590"/>
        <v>4</v>
      </c>
      <c r="V461" s="352">
        <f t="shared" si="591"/>
        <v>6.2050000000000001</v>
      </c>
      <c r="W461" s="352">
        <f t="shared" si="592"/>
        <v>1178.95</v>
      </c>
      <c r="X461" s="142"/>
      <c r="Y461" s="561">
        <f t="shared" si="593"/>
        <v>176.11906441846156</v>
      </c>
      <c r="Z461" s="142"/>
      <c r="AA461" s="352" t="str">
        <f t="shared" si="594"/>
        <v>atse_Dybstrøelse, lang ædeplads med spalter (kanal, bagskyl eller ringkanal) - dybstrøelse</v>
      </c>
    </row>
    <row r="462" spans="3:27" x14ac:dyDescent="0.25">
      <c r="C462" s="311"/>
      <c r="D462" s="311"/>
      <c r="E462" s="311"/>
      <c r="F462" s="311"/>
      <c r="G462" s="311"/>
      <c r="H462" s="311"/>
      <c r="I462" s="311"/>
      <c r="J462" s="311"/>
      <c r="K462" s="311"/>
      <c r="O462" s="662"/>
      <c r="P462" s="663"/>
      <c r="Q462" s="352" t="str">
        <f t="shared" ref="Q462:R462" si="619">C426</f>
        <v>Dybstrøelse, lang ædeplads med spalter (kanal, bagskyl eller ringkanal)</v>
      </c>
      <c r="R462" s="352" t="str">
        <f t="shared" si="619"/>
        <v>gylle</v>
      </c>
      <c r="S462" s="561">
        <f t="shared" ref="S462:T462" si="620">E426*$P$448</f>
        <v>16.321675815384616</v>
      </c>
      <c r="T462" s="561">
        <f t="shared" si="620"/>
        <v>10.938537353846154</v>
      </c>
      <c r="U462" s="352">
        <f t="shared" si="590"/>
        <v>0</v>
      </c>
      <c r="V462" s="352">
        <f t="shared" si="591"/>
        <v>0</v>
      </c>
      <c r="W462" s="352">
        <f t="shared" si="592"/>
        <v>0</v>
      </c>
      <c r="X462" s="142"/>
      <c r="Y462" s="561">
        <f t="shared" si="593"/>
        <v>117.41270961230772</v>
      </c>
      <c r="Z462" s="142"/>
      <c r="AA462" s="352" t="str">
        <f t="shared" si="594"/>
        <v>atse_Dybstrøelse, lang ædeplads med spalter (kanal, bagskyl eller ringkanal) - gylle</v>
      </c>
    </row>
    <row r="463" spans="3:27" x14ac:dyDescent="0.25">
      <c r="C463" s="311"/>
      <c r="D463" s="311"/>
      <c r="E463" s="311"/>
      <c r="F463" s="311"/>
      <c r="G463" s="311"/>
      <c r="H463" s="311"/>
      <c r="I463" s="311"/>
      <c r="J463" s="311"/>
      <c r="K463" s="311"/>
      <c r="O463" s="662"/>
      <c r="P463" s="663"/>
      <c r="Q463" s="352" t="str">
        <f t="shared" ref="Q463:R463" si="621">C427</f>
        <v>Spaltegulvbokse</v>
      </c>
      <c r="R463" s="352" t="str">
        <f t="shared" si="621"/>
        <v>gylle</v>
      </c>
      <c r="S463" s="561">
        <f t="shared" ref="S463:T463" si="622">E427*$P$448</f>
        <v>40.804189538461536</v>
      </c>
      <c r="T463" s="561">
        <f t="shared" si="622"/>
        <v>27.346343384615384</v>
      </c>
      <c r="U463" s="352">
        <f t="shared" si="590"/>
        <v>0</v>
      </c>
      <c r="V463" s="352">
        <f t="shared" si="591"/>
        <v>0</v>
      </c>
      <c r="W463" s="352">
        <f t="shared" si="592"/>
        <v>0</v>
      </c>
      <c r="X463" s="142"/>
      <c r="Y463" s="561">
        <f t="shared" si="593"/>
        <v>293.53177403076927</v>
      </c>
      <c r="Z463" s="142"/>
      <c r="AA463" s="352" t="str">
        <f t="shared" si="594"/>
        <v>atse_Spaltegulvbokse - gylle</v>
      </c>
    </row>
    <row r="464" spans="3:27" x14ac:dyDescent="0.25">
      <c r="C464" s="342" t="str">
        <f>C213</f>
        <v>1 produceret tyrekalv, 0-6 mdr, Jersey</v>
      </c>
      <c r="D464" s="311"/>
      <c r="E464" s="311"/>
      <c r="F464" s="311"/>
      <c r="G464" s="311"/>
      <c r="H464" s="311"/>
      <c r="I464" s="311"/>
      <c r="J464" s="311"/>
      <c r="K464" s="311"/>
      <c r="O464" s="662"/>
      <c r="P464" s="663"/>
      <c r="Q464" s="352"/>
      <c r="R464" s="352"/>
      <c r="S464" s="236"/>
      <c r="T464" s="236"/>
      <c r="U464" s="352"/>
      <c r="V464" s="352"/>
      <c r="W464" s="352"/>
      <c r="Y464" s="236"/>
      <c r="AA464" s="352"/>
    </row>
    <row r="465" spans="3:27" x14ac:dyDescent="0.25">
      <c r="C465" s="311" t="str">
        <f t="shared" ref="C465:K467" si="623">C214</f>
        <v>Normtal</v>
      </c>
      <c r="D465" s="311">
        <f t="shared" si="623"/>
        <v>0.65934065934065933</v>
      </c>
      <c r="E465" s="311">
        <f t="shared" si="623"/>
        <v>9.1</v>
      </c>
      <c r="F465" s="311">
        <f t="shared" si="623"/>
        <v>6</v>
      </c>
      <c r="G465" s="311">
        <f t="shared" si="623"/>
        <v>0</v>
      </c>
      <c r="H465" s="311">
        <f t="shared" si="623"/>
        <v>0</v>
      </c>
      <c r="I465" s="311">
        <f t="shared" si="623"/>
        <v>0</v>
      </c>
      <c r="J465" s="311">
        <f t="shared" si="623"/>
        <v>0.97</v>
      </c>
      <c r="K465" s="311">
        <f t="shared" si="623"/>
        <v>62.080000000000013</v>
      </c>
      <c r="N465" s="134" t="str">
        <f>C464</f>
        <v>1 produceret tyrekalv, 0-6 mdr, Jersey</v>
      </c>
      <c r="O465" s="662"/>
      <c r="P465" s="663"/>
      <c r="Q465" s="353" t="s">
        <v>480</v>
      </c>
      <c r="R465" s="354"/>
      <c r="S465" s="561">
        <f t="shared" ref="S465:T467" si="624">E465*$P$466</f>
        <v>9.1</v>
      </c>
      <c r="T465" s="561">
        <f t="shared" si="624"/>
        <v>6</v>
      </c>
      <c r="U465" s="352"/>
      <c r="V465" s="352"/>
      <c r="W465" s="352"/>
      <c r="X465" s="142"/>
      <c r="Y465" s="561">
        <f>K465*$P$466</f>
        <v>62.080000000000013</v>
      </c>
      <c r="Z465" s="142"/>
      <c r="AA465" s="352"/>
    </row>
    <row r="466" spans="3:27" x14ac:dyDescent="0.25">
      <c r="C466" s="311" t="str">
        <f t="shared" si="623"/>
        <v>Dybstrøelse (hele arealet)</v>
      </c>
      <c r="D466" s="311" t="str">
        <f t="shared" si="623"/>
        <v>Dybstrøelse</v>
      </c>
      <c r="E466" s="311">
        <f t="shared" si="623"/>
        <v>9.1</v>
      </c>
      <c r="F466" s="311">
        <f t="shared" si="623"/>
        <v>0</v>
      </c>
      <c r="G466" s="311">
        <f t="shared" si="623"/>
        <v>1.2</v>
      </c>
      <c r="H466" s="311">
        <f t="shared" si="623"/>
        <v>1.8615000000000002</v>
      </c>
      <c r="I466" s="311">
        <f t="shared" si="623"/>
        <v>353.685</v>
      </c>
      <c r="J466" s="311">
        <f t="shared" si="623"/>
        <v>0</v>
      </c>
      <c r="K466" s="311">
        <f t="shared" si="623"/>
        <v>62.080000000000013</v>
      </c>
      <c r="N466" s="195" t="s">
        <v>211</v>
      </c>
      <c r="O466" s="662" t="s">
        <v>431</v>
      </c>
      <c r="P466" s="663">
        <v>1</v>
      </c>
      <c r="Q466" s="352" t="str">
        <f>C466</f>
        <v>Dybstrøelse (hele arealet)</v>
      </c>
      <c r="R466" s="352" t="str">
        <f>D466</f>
        <v>Dybstrøelse</v>
      </c>
      <c r="S466" s="561">
        <f t="shared" si="624"/>
        <v>9.1</v>
      </c>
      <c r="T466" s="561">
        <f t="shared" si="624"/>
        <v>0</v>
      </c>
      <c r="U466" s="352">
        <f t="shared" ref="U466" si="625">G466</f>
        <v>1.2</v>
      </c>
      <c r="V466" s="352">
        <f t="shared" ref="V466" si="626">H466</f>
        <v>1.8615000000000002</v>
      </c>
      <c r="W466" s="352">
        <f t="shared" ref="W466" si="627">I466</f>
        <v>353.685</v>
      </c>
      <c r="X466" s="142"/>
      <c r="Y466" s="561">
        <f>K466*$P$466</f>
        <v>62.080000000000013</v>
      </c>
      <c r="Z466" s="142"/>
      <c r="AA466" s="352" t="str">
        <f>$O$466&amp;"_"&amp;Q466&amp;" - "&amp;R466</f>
        <v>at06e_Dybstrøelse (hele arealet) - Dybstrøelse</v>
      </c>
    </row>
    <row r="467" spans="3:27" x14ac:dyDescent="0.25">
      <c r="C467" s="311" t="str">
        <f t="shared" si="623"/>
        <v>Dybstrøelse + kort ædeplads med fast gulv</v>
      </c>
      <c r="D467" s="311" t="str">
        <f t="shared" si="623"/>
        <v>Dybstrøelse</v>
      </c>
      <c r="E467" s="311">
        <f t="shared" si="623"/>
        <v>9.1</v>
      </c>
      <c r="F467" s="311">
        <f t="shared" si="623"/>
        <v>0</v>
      </c>
      <c r="G467" s="311">
        <f t="shared" si="623"/>
        <v>1.2</v>
      </c>
      <c r="H467" s="311">
        <f t="shared" si="623"/>
        <v>1.8615000000000002</v>
      </c>
      <c r="I467" s="311">
        <f t="shared" si="623"/>
        <v>353.685</v>
      </c>
      <c r="J467" s="311">
        <f t="shared" si="623"/>
        <v>0</v>
      </c>
      <c r="K467" s="311">
        <f t="shared" si="623"/>
        <v>62.080000000000013</v>
      </c>
      <c r="N467" s="195" t="s">
        <v>267</v>
      </c>
      <c r="O467" s="662"/>
      <c r="P467" s="663"/>
      <c r="Q467" s="352" t="str">
        <f>C467</f>
        <v>Dybstrøelse + kort ædeplads med fast gulv</v>
      </c>
      <c r="R467" s="352" t="str">
        <f>D467</f>
        <v>Dybstrøelse</v>
      </c>
      <c r="S467" s="561">
        <f t="shared" si="624"/>
        <v>9.1</v>
      </c>
      <c r="T467" s="561">
        <f t="shared" si="624"/>
        <v>0</v>
      </c>
      <c r="U467" s="352">
        <f t="shared" ref="U467" si="628">G467</f>
        <v>1.2</v>
      </c>
      <c r="V467" s="352">
        <f t="shared" ref="V467" si="629">H467</f>
        <v>1.8615000000000002</v>
      </c>
      <c r="W467" s="352">
        <f t="shared" ref="W467" si="630">I467</f>
        <v>353.685</v>
      </c>
      <c r="X467" s="142"/>
      <c r="Y467" s="561">
        <f>K467*$P$466</f>
        <v>62.080000000000013</v>
      </c>
      <c r="Z467" s="142"/>
      <c r="AA467" s="352" t="str">
        <f>$O$466&amp;"_"&amp;Q467&amp;" - "&amp;R467</f>
        <v>at06e_Dybstrøelse + kort ædeplads med fast gulv - Dybstrøelse</v>
      </c>
    </row>
    <row r="468" spans="3:27" x14ac:dyDescent="0.25">
      <c r="C468" s="342" t="str">
        <f t="shared" ref="C468:C485" si="631">C221</f>
        <v>Ungtyre, 6 mdr. til slagtning (328 kg), Jersey, (1 produceret ungtyr)</v>
      </c>
      <c r="D468" s="311"/>
      <c r="E468" s="311"/>
      <c r="F468" s="311"/>
      <c r="G468" s="311"/>
      <c r="H468" s="311"/>
      <c r="I468" s="311"/>
      <c r="J468" s="311"/>
      <c r="K468" s="311"/>
      <c r="O468" s="662"/>
      <c r="P468" s="663"/>
      <c r="Q468" s="352"/>
      <c r="R468" s="352"/>
      <c r="S468" s="236"/>
      <c r="T468" s="236"/>
      <c r="U468" s="352"/>
      <c r="V468" s="352"/>
      <c r="W468" s="352"/>
      <c r="Y468" s="236"/>
      <c r="AA468" s="352"/>
    </row>
    <row r="469" spans="3:27" x14ac:dyDescent="0.25">
      <c r="C469" s="311" t="str">
        <f t="shared" si="631"/>
        <v>Normtal</v>
      </c>
      <c r="D469" s="311">
        <f t="shared" ref="D469:K469" si="632">D222</f>
        <v>0.65760869565217395</v>
      </c>
      <c r="E469" s="311">
        <f t="shared" si="632"/>
        <v>18.399999999999999</v>
      </c>
      <c r="F469" s="311">
        <f t="shared" si="632"/>
        <v>12.1</v>
      </c>
      <c r="G469" s="311">
        <f t="shared" si="632"/>
        <v>0</v>
      </c>
      <c r="H469" s="311">
        <f t="shared" si="632"/>
        <v>0</v>
      </c>
      <c r="I469" s="311">
        <f t="shared" si="632"/>
        <v>0</v>
      </c>
      <c r="J469" s="311">
        <f t="shared" si="632"/>
        <v>2.16</v>
      </c>
      <c r="K469" s="311">
        <f t="shared" si="632"/>
        <v>138.24</v>
      </c>
      <c r="N469" s="134" t="str">
        <f>C468</f>
        <v>Ungtyre, 6 mdr. til slagtning (328 kg), Jersey, (1 produceret ungtyr)</v>
      </c>
      <c r="O469" s="662"/>
      <c r="P469" s="663"/>
      <c r="Q469" s="353" t="s">
        <v>481</v>
      </c>
      <c r="R469" s="354"/>
      <c r="S469" s="561">
        <f>E469*$P$470</f>
        <v>30.802223983656788</v>
      </c>
      <c r="T469" s="561">
        <f>F469*$P$470</f>
        <v>20.25581033707865</v>
      </c>
      <c r="U469" s="352"/>
      <c r="V469" s="352"/>
      <c r="W469" s="352"/>
      <c r="X469" s="142"/>
      <c r="Y469" s="561">
        <f>K469*$P$470</f>
        <v>231.41844801634321</v>
      </c>
      <c r="Z469" s="142"/>
      <c r="AA469" s="352"/>
    </row>
    <row r="470" spans="3:27" x14ac:dyDescent="0.25">
      <c r="C470" s="311" t="str">
        <f t="shared" si="631"/>
        <v>Bindestald med grebning</v>
      </c>
      <c r="D470" s="311" t="str">
        <f t="shared" ref="D470:K470" si="633">D223</f>
        <v>fast gødning</v>
      </c>
      <c r="E470" s="311">
        <f t="shared" si="633"/>
        <v>11.04</v>
      </c>
      <c r="F470" s="311">
        <f t="shared" si="633"/>
        <v>7.26</v>
      </c>
      <c r="G470" s="311">
        <f t="shared" si="633"/>
        <v>0.6</v>
      </c>
      <c r="H470" s="311">
        <f t="shared" si="633"/>
        <v>0.93075000000000008</v>
      </c>
      <c r="I470" s="311">
        <f t="shared" si="633"/>
        <v>176.8425</v>
      </c>
      <c r="J470" s="311">
        <f t="shared" si="633"/>
        <v>0</v>
      </c>
      <c r="K470" s="311">
        <f t="shared" si="633"/>
        <v>0</v>
      </c>
      <c r="N470" s="195" t="s">
        <v>211</v>
      </c>
      <c r="O470" s="662" t="s">
        <v>434</v>
      </c>
      <c r="P470" s="663">
        <f>(2.308 * (418 - 152) + 0.00676 * (418^2 - 152^2)) / 979</f>
        <v>1.6740339121552603</v>
      </c>
      <c r="Q470" s="352" t="str">
        <f>C470</f>
        <v>Bindestald med grebning</v>
      </c>
      <c r="R470" s="352" t="str">
        <f>D470</f>
        <v>fast gødning</v>
      </c>
      <c r="S470" s="561">
        <f>E470*$P$470</f>
        <v>18.481334390194071</v>
      </c>
      <c r="T470" s="561">
        <f>F470*$P$470</f>
        <v>12.153486202247189</v>
      </c>
      <c r="U470" s="352">
        <f t="shared" ref="U470" si="634">G470</f>
        <v>0.6</v>
      </c>
      <c r="V470" s="352">
        <f t="shared" ref="V470" si="635">H470</f>
        <v>0.93075000000000008</v>
      </c>
      <c r="W470" s="352">
        <f t="shared" ref="W470" si="636">I470</f>
        <v>176.8425</v>
      </c>
      <c r="X470" s="142"/>
      <c r="Y470" s="561">
        <f>K470*$P$470</f>
        <v>0</v>
      </c>
      <c r="Z470" s="142"/>
      <c r="AA470" s="352" t="str">
        <f>$O$470&amp;"_"&amp;Q470&amp;" - "&amp;R470</f>
        <v>atu12e_Bindestald med grebning - fast gødning</v>
      </c>
    </row>
    <row r="471" spans="3:27" x14ac:dyDescent="0.25">
      <c r="C471" s="311" t="str">
        <f t="shared" si="631"/>
        <v>Bindestald med grebning</v>
      </c>
      <c r="D471" s="311" t="str">
        <f t="shared" ref="D471:K471" si="637">D224</f>
        <v>ajle</v>
      </c>
      <c r="E471" s="311">
        <f t="shared" si="637"/>
        <v>7.3599999999999994</v>
      </c>
      <c r="F471" s="311">
        <f t="shared" si="637"/>
        <v>4.84</v>
      </c>
      <c r="G471" s="311">
        <f t="shared" si="637"/>
        <v>0</v>
      </c>
      <c r="H471" s="311">
        <f t="shared" si="637"/>
        <v>0</v>
      </c>
      <c r="I471" s="311">
        <f t="shared" si="637"/>
        <v>0</v>
      </c>
      <c r="J471" s="311">
        <f t="shared" si="637"/>
        <v>0</v>
      </c>
      <c r="K471" s="311">
        <f t="shared" si="637"/>
        <v>0</v>
      </c>
      <c r="N471" s="195" t="s">
        <v>213</v>
      </c>
      <c r="O471" s="664" t="s">
        <v>492</v>
      </c>
      <c r="P471" s="663"/>
      <c r="Q471" s="352" t="str">
        <f t="shared" ref="Q471:Q485" si="638">C471</f>
        <v>Bindestald med grebning</v>
      </c>
      <c r="R471" s="352" t="str">
        <f t="shared" ref="R471:R485" si="639">D471</f>
        <v>ajle</v>
      </c>
      <c r="S471" s="561">
        <f t="shared" ref="S471:S485" si="640">E471*$P$470</f>
        <v>12.320889593462715</v>
      </c>
      <c r="T471" s="561">
        <f t="shared" ref="T471:T485" si="641">F471*$P$470</f>
        <v>8.1023241348314592</v>
      </c>
      <c r="U471" s="352">
        <f t="shared" ref="U471:U485" si="642">G471</f>
        <v>0</v>
      </c>
      <c r="V471" s="352">
        <f t="shared" ref="V471:V485" si="643">H471</f>
        <v>0</v>
      </c>
      <c r="W471" s="352">
        <f t="shared" ref="W471:W485" si="644">I471</f>
        <v>0</v>
      </c>
      <c r="X471" s="142"/>
      <c r="Y471" s="561">
        <f t="shared" ref="Y471:Y485" si="645">K471*$P$470</f>
        <v>0</v>
      </c>
      <c r="Z471" s="142"/>
      <c r="AA471" s="352" t="str">
        <f t="shared" ref="AA471:AA485" si="646">$O$470&amp;"_"&amp;Q471&amp;" - "&amp;R471</f>
        <v>atu12e_Bindestald med grebning - ajle</v>
      </c>
    </row>
    <row r="472" spans="3:27" x14ac:dyDescent="0.25">
      <c r="C472" s="311" t="str">
        <f t="shared" si="631"/>
        <v>Bindestald med riste</v>
      </c>
      <c r="D472" s="311" t="str">
        <f t="shared" ref="D472:K472" si="647">D225</f>
        <v>gylle</v>
      </c>
      <c r="E472" s="311">
        <f t="shared" si="647"/>
        <v>18.399999999999999</v>
      </c>
      <c r="F472" s="311">
        <f t="shared" si="647"/>
        <v>12.1</v>
      </c>
      <c r="G472" s="311">
        <f t="shared" si="647"/>
        <v>0.6</v>
      </c>
      <c r="H472" s="311">
        <f t="shared" si="647"/>
        <v>0.93075000000000008</v>
      </c>
      <c r="I472" s="311">
        <f t="shared" si="647"/>
        <v>176.8425</v>
      </c>
      <c r="J472" s="311">
        <f t="shared" si="647"/>
        <v>0</v>
      </c>
      <c r="K472" s="311">
        <f t="shared" si="647"/>
        <v>138.24</v>
      </c>
      <c r="O472" s="662"/>
      <c r="P472" s="663"/>
      <c r="Q472" s="352" t="str">
        <f t="shared" si="638"/>
        <v>Bindestald med riste</v>
      </c>
      <c r="R472" s="352" t="str">
        <f t="shared" si="639"/>
        <v>gylle</v>
      </c>
      <c r="S472" s="561">
        <f t="shared" si="640"/>
        <v>30.802223983656788</v>
      </c>
      <c r="T472" s="561">
        <f t="shared" si="641"/>
        <v>20.25581033707865</v>
      </c>
      <c r="U472" s="352">
        <f t="shared" si="642"/>
        <v>0.6</v>
      </c>
      <c r="V472" s="352">
        <f t="shared" si="643"/>
        <v>0.93075000000000008</v>
      </c>
      <c r="W472" s="352">
        <f t="shared" si="644"/>
        <v>176.8425</v>
      </c>
      <c r="X472" s="142"/>
      <c r="Y472" s="561">
        <f t="shared" si="645"/>
        <v>231.41844801634321</v>
      </c>
      <c r="Z472" s="142"/>
      <c r="AA472" s="352" t="str">
        <f t="shared" si="646"/>
        <v>atu12e_Bindestald med riste - gylle</v>
      </c>
    </row>
    <row r="473" spans="3:27" x14ac:dyDescent="0.25">
      <c r="C473" s="311" t="str">
        <f t="shared" si="631"/>
        <v>Sengestald med fast gulv</v>
      </c>
      <c r="D473" s="311" t="str">
        <f t="shared" ref="D473:K473" si="648">D226</f>
        <v>gylle</v>
      </c>
      <c r="E473" s="311">
        <f t="shared" si="648"/>
        <v>18.399999999999999</v>
      </c>
      <c r="F473" s="311">
        <f t="shared" si="648"/>
        <v>12.1</v>
      </c>
      <c r="G473" s="311">
        <f t="shared" si="648"/>
        <v>0.2</v>
      </c>
      <c r="H473" s="311">
        <f t="shared" si="648"/>
        <v>0.31025000000000003</v>
      </c>
      <c r="I473" s="311">
        <f t="shared" si="648"/>
        <v>58.947500000000005</v>
      </c>
      <c r="J473" s="311">
        <f t="shared" si="648"/>
        <v>0</v>
      </c>
      <c r="K473" s="311">
        <f t="shared" si="648"/>
        <v>138.24</v>
      </c>
      <c r="O473" s="662"/>
      <c r="P473" s="663"/>
      <c r="Q473" s="352" t="str">
        <f t="shared" si="638"/>
        <v>Sengestald med fast gulv</v>
      </c>
      <c r="R473" s="352" t="str">
        <f t="shared" si="639"/>
        <v>gylle</v>
      </c>
      <c r="S473" s="561">
        <f t="shared" si="640"/>
        <v>30.802223983656788</v>
      </c>
      <c r="T473" s="561">
        <f t="shared" si="641"/>
        <v>20.25581033707865</v>
      </c>
      <c r="U473" s="352">
        <f t="shared" si="642"/>
        <v>0.2</v>
      </c>
      <c r="V473" s="352">
        <f t="shared" si="643"/>
        <v>0.31025000000000003</v>
      </c>
      <c r="W473" s="352">
        <f t="shared" si="644"/>
        <v>58.947500000000005</v>
      </c>
      <c r="X473" s="142"/>
      <c r="Y473" s="561">
        <f t="shared" si="645"/>
        <v>231.41844801634321</v>
      </c>
      <c r="Z473" s="142"/>
      <c r="AA473" s="352" t="str">
        <f t="shared" si="646"/>
        <v>atu12e_Sengestald med fast gulv - gylle</v>
      </c>
    </row>
    <row r="474" spans="3:27" x14ac:dyDescent="0.25">
      <c r="C474" s="311" t="str">
        <f t="shared" si="631"/>
        <v>Sengestald med spaltegulv (kanal, line- spil)</v>
      </c>
      <c r="D474" s="311" t="str">
        <f t="shared" ref="D474:K474" si="649">D227</f>
        <v>gylle</v>
      </c>
      <c r="E474" s="311">
        <f t="shared" si="649"/>
        <v>18.399999999999999</v>
      </c>
      <c r="F474" s="311">
        <f t="shared" si="649"/>
        <v>12.1</v>
      </c>
      <c r="G474" s="311">
        <f t="shared" si="649"/>
        <v>0.2</v>
      </c>
      <c r="H474" s="311">
        <f t="shared" si="649"/>
        <v>0.31025000000000003</v>
      </c>
      <c r="I474" s="311">
        <f t="shared" si="649"/>
        <v>58.947500000000005</v>
      </c>
      <c r="J474" s="311">
        <f t="shared" si="649"/>
        <v>0</v>
      </c>
      <c r="K474" s="311">
        <f t="shared" si="649"/>
        <v>138.24</v>
      </c>
      <c r="O474" s="662"/>
      <c r="P474" s="663"/>
      <c r="Q474" s="352" t="str">
        <f t="shared" si="638"/>
        <v>Sengestald med spaltegulv (kanal, line- spil)</v>
      </c>
      <c r="R474" s="352" t="str">
        <f t="shared" si="639"/>
        <v>gylle</v>
      </c>
      <c r="S474" s="561">
        <f t="shared" si="640"/>
        <v>30.802223983656788</v>
      </c>
      <c r="T474" s="561">
        <f t="shared" si="641"/>
        <v>20.25581033707865</v>
      </c>
      <c r="U474" s="352">
        <f t="shared" si="642"/>
        <v>0.2</v>
      </c>
      <c r="V474" s="352">
        <f t="shared" si="643"/>
        <v>0.31025000000000003</v>
      </c>
      <c r="W474" s="352">
        <f t="shared" si="644"/>
        <v>58.947500000000005</v>
      </c>
      <c r="X474" s="142"/>
      <c r="Y474" s="561">
        <f t="shared" si="645"/>
        <v>231.41844801634321</v>
      </c>
      <c r="Z474" s="142"/>
      <c r="AA474" s="352" t="str">
        <f t="shared" si="646"/>
        <v>atu12e_Sengestald med spaltegulv (kanal, line- spil) - gylle</v>
      </c>
    </row>
    <row r="475" spans="3:27" x14ac:dyDescent="0.25">
      <c r="C475" s="311" t="str">
        <f t="shared" si="631"/>
        <v>Sengestald med spaltegulv (kanal, bagskyl eller ringkanal)</v>
      </c>
      <c r="D475" s="311" t="str">
        <f t="shared" ref="D475:K475" si="650">D228</f>
        <v>gylle</v>
      </c>
      <c r="E475" s="311">
        <f t="shared" si="650"/>
        <v>18.399999999999999</v>
      </c>
      <c r="F475" s="311">
        <f t="shared" si="650"/>
        <v>12.1</v>
      </c>
      <c r="G475" s="311">
        <f t="shared" si="650"/>
        <v>0.2</v>
      </c>
      <c r="H475" s="311">
        <f t="shared" si="650"/>
        <v>0.31025000000000003</v>
      </c>
      <c r="I475" s="311">
        <f t="shared" si="650"/>
        <v>58.947500000000005</v>
      </c>
      <c r="J475" s="311">
        <f t="shared" si="650"/>
        <v>0</v>
      </c>
      <c r="K475" s="311">
        <f t="shared" si="650"/>
        <v>138.24</v>
      </c>
      <c r="O475" s="662"/>
      <c r="P475" s="663"/>
      <c r="Q475" s="352" t="str">
        <f t="shared" si="638"/>
        <v>Sengestald med spaltegulv (kanal, bagskyl eller ringkanal)</v>
      </c>
      <c r="R475" s="352" t="str">
        <f t="shared" si="639"/>
        <v>gylle</v>
      </c>
      <c r="S475" s="561">
        <f t="shared" si="640"/>
        <v>30.802223983656788</v>
      </c>
      <c r="T475" s="561">
        <f t="shared" si="641"/>
        <v>20.25581033707865</v>
      </c>
      <c r="U475" s="352">
        <f t="shared" si="642"/>
        <v>0.2</v>
      </c>
      <c r="V475" s="352">
        <f t="shared" si="643"/>
        <v>0.31025000000000003</v>
      </c>
      <c r="W475" s="352">
        <f t="shared" si="644"/>
        <v>58.947500000000005</v>
      </c>
      <c r="X475" s="142"/>
      <c r="Y475" s="561">
        <f t="shared" si="645"/>
        <v>231.41844801634321</v>
      </c>
      <c r="Z475" s="142"/>
      <c r="AA475" s="352" t="str">
        <f t="shared" si="646"/>
        <v>atu12e_Sengestald med spaltegulv (kanal, bagskyl eller ringkanal) - gylle</v>
      </c>
    </row>
    <row r="476" spans="3:27" x14ac:dyDescent="0.25">
      <c r="C476" s="311" t="str">
        <f t="shared" si="631"/>
        <v>Sengestald, fast drænet gulv med skra- ber og ajleafløb *)</v>
      </c>
      <c r="D476" s="311" t="str">
        <f t="shared" ref="D476:K476" si="651">D229</f>
        <v>gylle</v>
      </c>
      <c r="E476" s="311">
        <f t="shared" si="651"/>
        <v>18.399999999999999</v>
      </c>
      <c r="F476" s="311">
        <f t="shared" si="651"/>
        <v>12.1</v>
      </c>
      <c r="G476" s="311">
        <f t="shared" si="651"/>
        <v>0.2</v>
      </c>
      <c r="H476" s="311">
        <f t="shared" si="651"/>
        <v>0.31025000000000003</v>
      </c>
      <c r="I476" s="311">
        <f t="shared" si="651"/>
        <v>58.947500000000005</v>
      </c>
      <c r="J476" s="311">
        <f t="shared" si="651"/>
        <v>0</v>
      </c>
      <c r="K476" s="311">
        <f t="shared" si="651"/>
        <v>138.24</v>
      </c>
      <c r="O476" s="662"/>
      <c r="P476" s="663"/>
      <c r="Q476" s="352" t="str">
        <f t="shared" si="638"/>
        <v>Sengestald, fast drænet gulv med skra- ber og ajleafløb *)</v>
      </c>
      <c r="R476" s="352" t="str">
        <f t="shared" si="639"/>
        <v>gylle</v>
      </c>
      <c r="S476" s="561">
        <f t="shared" si="640"/>
        <v>30.802223983656788</v>
      </c>
      <c r="T476" s="561">
        <f t="shared" si="641"/>
        <v>20.25581033707865</v>
      </c>
      <c r="U476" s="352">
        <f t="shared" si="642"/>
        <v>0.2</v>
      </c>
      <c r="V476" s="352">
        <f t="shared" si="643"/>
        <v>0.31025000000000003</v>
      </c>
      <c r="W476" s="352">
        <f t="shared" si="644"/>
        <v>58.947500000000005</v>
      </c>
      <c r="X476" s="142"/>
      <c r="Y476" s="561">
        <f t="shared" si="645"/>
        <v>231.41844801634321</v>
      </c>
      <c r="Z476" s="142"/>
      <c r="AA476" s="352" t="str">
        <f t="shared" si="646"/>
        <v>atu12e_Sengestald, fast drænet gulv med skra- ber og ajleafløb *) - gylle</v>
      </c>
    </row>
    <row r="477" spans="3:27" x14ac:dyDescent="0.25">
      <c r="C477" s="311" t="str">
        <f t="shared" si="631"/>
        <v>Dybstrøelse, hele arealet</v>
      </c>
      <c r="D477" s="311" t="str">
        <f t="shared" ref="D477:K477" si="652">D230</f>
        <v>dybstrøelse</v>
      </c>
      <c r="E477" s="311">
        <f t="shared" si="652"/>
        <v>18.399999999999999</v>
      </c>
      <c r="F477" s="311">
        <f t="shared" si="652"/>
        <v>0</v>
      </c>
      <c r="G477" s="311">
        <f t="shared" si="652"/>
        <v>2.9</v>
      </c>
      <c r="H477" s="311">
        <f t="shared" si="652"/>
        <v>4.4986249999999997</v>
      </c>
      <c r="I477" s="311">
        <f t="shared" si="652"/>
        <v>854.73874999999987</v>
      </c>
      <c r="J477" s="311">
        <f t="shared" si="652"/>
        <v>0</v>
      </c>
      <c r="K477" s="311">
        <f t="shared" si="652"/>
        <v>138.24</v>
      </c>
      <c r="O477" s="662"/>
      <c r="P477" s="663"/>
      <c r="Q477" s="352" t="str">
        <f t="shared" si="638"/>
        <v>Dybstrøelse, hele arealet</v>
      </c>
      <c r="R477" s="352" t="str">
        <f t="shared" si="639"/>
        <v>dybstrøelse</v>
      </c>
      <c r="S477" s="561">
        <f t="shared" si="640"/>
        <v>30.802223983656788</v>
      </c>
      <c r="T477" s="561">
        <f t="shared" si="641"/>
        <v>0</v>
      </c>
      <c r="U477" s="352">
        <f t="shared" si="642"/>
        <v>2.9</v>
      </c>
      <c r="V477" s="352">
        <f t="shared" si="643"/>
        <v>4.4986249999999997</v>
      </c>
      <c r="W477" s="352">
        <f t="shared" si="644"/>
        <v>854.73874999999987</v>
      </c>
      <c r="X477" s="142"/>
      <c r="Y477" s="561">
        <f t="shared" si="645"/>
        <v>231.41844801634321</v>
      </c>
      <c r="Z477" s="142"/>
      <c r="AA477" s="352" t="str">
        <f t="shared" si="646"/>
        <v>atu12e_Dybstrøelse, hele arealet - dybstrøelse</v>
      </c>
    </row>
    <row r="478" spans="3:27" x14ac:dyDescent="0.25">
      <c r="C478" s="311" t="str">
        <f t="shared" si="631"/>
        <v>Dybstrøelse + kort ædeplads med fast gulv</v>
      </c>
      <c r="D478" s="311" t="str">
        <f t="shared" ref="D478:K478" si="653">D231</f>
        <v>dybstrøelse</v>
      </c>
      <c r="E478" s="311">
        <f t="shared" si="653"/>
        <v>18.399999999999999</v>
      </c>
      <c r="F478" s="311">
        <f t="shared" si="653"/>
        <v>0</v>
      </c>
      <c r="G478" s="311">
        <f t="shared" si="653"/>
        <v>2.4</v>
      </c>
      <c r="H478" s="311">
        <f t="shared" si="653"/>
        <v>3.7230000000000003</v>
      </c>
      <c r="I478" s="311">
        <f t="shared" si="653"/>
        <v>707.37</v>
      </c>
      <c r="J478" s="311">
        <f t="shared" si="653"/>
        <v>0</v>
      </c>
      <c r="K478" s="311">
        <f t="shared" si="653"/>
        <v>138.24</v>
      </c>
      <c r="O478" s="662"/>
      <c r="P478" s="663"/>
      <c r="Q478" s="352" t="str">
        <f t="shared" si="638"/>
        <v>Dybstrøelse + kort ædeplads med fast gulv</v>
      </c>
      <c r="R478" s="352" t="str">
        <f t="shared" si="639"/>
        <v>dybstrøelse</v>
      </c>
      <c r="S478" s="561">
        <f t="shared" si="640"/>
        <v>30.802223983656788</v>
      </c>
      <c r="T478" s="561">
        <f t="shared" si="641"/>
        <v>0</v>
      </c>
      <c r="U478" s="352">
        <f t="shared" si="642"/>
        <v>2.4</v>
      </c>
      <c r="V478" s="352">
        <f t="shared" si="643"/>
        <v>3.7230000000000003</v>
      </c>
      <c r="W478" s="352">
        <f t="shared" si="644"/>
        <v>707.37</v>
      </c>
      <c r="X478" s="142"/>
      <c r="Y478" s="561">
        <f t="shared" si="645"/>
        <v>231.41844801634321</v>
      </c>
      <c r="Z478" s="142"/>
      <c r="AA478" s="352" t="str">
        <f t="shared" si="646"/>
        <v>atu12e_Dybstrøelse + kort ædeplads med fast gulv - dybstrøelse</v>
      </c>
    </row>
    <row r="479" spans="3:27" x14ac:dyDescent="0.25">
      <c r="C479" s="311" t="str">
        <f t="shared" si="631"/>
        <v>Dybstrøelse, lang ædeplads med fast gulv</v>
      </c>
      <c r="D479" s="311" t="str">
        <f t="shared" ref="D479:K479" si="654">D232</f>
        <v>dybstrøelse</v>
      </c>
      <c r="E479" s="311">
        <f t="shared" si="654"/>
        <v>11.04</v>
      </c>
      <c r="F479" s="311">
        <f t="shared" si="654"/>
        <v>0</v>
      </c>
      <c r="G479" s="311">
        <f t="shared" si="654"/>
        <v>2.2999999999999998</v>
      </c>
      <c r="H479" s="311">
        <f t="shared" si="654"/>
        <v>3.5678749999999999</v>
      </c>
      <c r="I479" s="311">
        <f t="shared" si="654"/>
        <v>677.8962499999999</v>
      </c>
      <c r="J479" s="311">
        <f t="shared" si="654"/>
        <v>0</v>
      </c>
      <c r="K479" s="311">
        <f t="shared" si="654"/>
        <v>82.944000000000003</v>
      </c>
      <c r="O479" s="662"/>
      <c r="P479" s="663"/>
      <c r="Q479" s="352" t="str">
        <f t="shared" si="638"/>
        <v>Dybstrøelse, lang ædeplads med fast gulv</v>
      </c>
      <c r="R479" s="352" t="str">
        <f t="shared" si="639"/>
        <v>dybstrøelse</v>
      </c>
      <c r="S479" s="561">
        <f t="shared" si="640"/>
        <v>18.481334390194071</v>
      </c>
      <c r="T479" s="561">
        <f t="shared" si="641"/>
        <v>0</v>
      </c>
      <c r="U479" s="352">
        <f t="shared" si="642"/>
        <v>2.2999999999999998</v>
      </c>
      <c r="V479" s="352">
        <f t="shared" si="643"/>
        <v>3.5678749999999999</v>
      </c>
      <c r="W479" s="352">
        <f t="shared" si="644"/>
        <v>677.8962499999999</v>
      </c>
      <c r="X479" s="142"/>
      <c r="Y479" s="561">
        <f t="shared" si="645"/>
        <v>138.85106880980592</v>
      </c>
      <c r="Z479" s="142"/>
      <c r="AA479" s="352" t="str">
        <f t="shared" si="646"/>
        <v>atu12e_Dybstrøelse, lang ædeplads med fast gulv - dybstrøelse</v>
      </c>
    </row>
    <row r="480" spans="3:27" x14ac:dyDescent="0.25">
      <c r="C480" s="311" t="str">
        <f t="shared" si="631"/>
        <v>Dybstrøelse, lang ædeplads med fast gulv</v>
      </c>
      <c r="D480" s="311" t="str">
        <f t="shared" ref="D480:K480" si="655">D233</f>
        <v>gylle</v>
      </c>
      <c r="E480" s="311">
        <f t="shared" si="655"/>
        <v>7.3599999999999994</v>
      </c>
      <c r="F480" s="311">
        <f t="shared" si="655"/>
        <v>4.84</v>
      </c>
      <c r="G480" s="311">
        <f t="shared" si="655"/>
        <v>0</v>
      </c>
      <c r="H480" s="311">
        <f t="shared" si="655"/>
        <v>0</v>
      </c>
      <c r="I480" s="311">
        <f t="shared" si="655"/>
        <v>0</v>
      </c>
      <c r="J480" s="311">
        <f t="shared" si="655"/>
        <v>0</v>
      </c>
      <c r="K480" s="311">
        <f t="shared" si="655"/>
        <v>55.296000000000006</v>
      </c>
      <c r="O480" s="662"/>
      <c r="P480" s="663"/>
      <c r="Q480" s="352" t="str">
        <f t="shared" si="638"/>
        <v>Dybstrøelse, lang ædeplads med fast gulv</v>
      </c>
      <c r="R480" s="352" t="str">
        <f t="shared" si="639"/>
        <v>gylle</v>
      </c>
      <c r="S480" s="561">
        <f t="shared" si="640"/>
        <v>12.320889593462715</v>
      </c>
      <c r="T480" s="561">
        <f t="shared" si="641"/>
        <v>8.1023241348314592</v>
      </c>
      <c r="U480" s="352">
        <f t="shared" si="642"/>
        <v>0</v>
      </c>
      <c r="V480" s="352">
        <f t="shared" si="643"/>
        <v>0</v>
      </c>
      <c r="W480" s="352">
        <f t="shared" si="644"/>
        <v>0</v>
      </c>
      <c r="X480" s="142"/>
      <c r="Y480" s="561">
        <f t="shared" si="645"/>
        <v>92.567379206537282</v>
      </c>
      <c r="Z480" s="142"/>
      <c r="AA480" s="352" t="str">
        <f t="shared" si="646"/>
        <v>atu12e_Dybstrøelse, lang ædeplads med fast gulv - gylle</v>
      </c>
    </row>
    <row r="481" spans="3:27" x14ac:dyDescent="0.25">
      <c r="C481" s="311" t="str">
        <f t="shared" si="631"/>
        <v>Dybstrøelse, lang ædeplads med spalter (kanal, linespil)</v>
      </c>
      <c r="D481" s="311" t="str">
        <f t="shared" ref="D481:K481" si="656">D234</f>
        <v>dybstrøelse</v>
      </c>
      <c r="E481" s="311">
        <f t="shared" si="656"/>
        <v>11.04</v>
      </c>
      <c r="F481" s="311">
        <f t="shared" si="656"/>
        <v>0</v>
      </c>
      <c r="G481" s="311">
        <f t="shared" si="656"/>
        <v>2.2999999999999998</v>
      </c>
      <c r="H481" s="311">
        <f t="shared" si="656"/>
        <v>3.5678749999999999</v>
      </c>
      <c r="I481" s="311">
        <f t="shared" si="656"/>
        <v>677.8962499999999</v>
      </c>
      <c r="J481" s="311">
        <f t="shared" si="656"/>
        <v>0</v>
      </c>
      <c r="K481" s="311">
        <f t="shared" si="656"/>
        <v>82.944000000000003</v>
      </c>
      <c r="O481" s="662"/>
      <c r="P481" s="663"/>
      <c r="Q481" s="352" t="str">
        <f t="shared" si="638"/>
        <v>Dybstrøelse, lang ædeplads med spalter (kanal, linespil)</v>
      </c>
      <c r="R481" s="352" t="str">
        <f t="shared" si="639"/>
        <v>dybstrøelse</v>
      </c>
      <c r="S481" s="561">
        <f t="shared" si="640"/>
        <v>18.481334390194071</v>
      </c>
      <c r="T481" s="561">
        <f t="shared" si="641"/>
        <v>0</v>
      </c>
      <c r="U481" s="352">
        <f t="shared" si="642"/>
        <v>2.2999999999999998</v>
      </c>
      <c r="V481" s="352">
        <f t="shared" si="643"/>
        <v>3.5678749999999999</v>
      </c>
      <c r="W481" s="352">
        <f t="shared" si="644"/>
        <v>677.8962499999999</v>
      </c>
      <c r="X481" s="142"/>
      <c r="Y481" s="561">
        <f t="shared" si="645"/>
        <v>138.85106880980592</v>
      </c>
      <c r="Z481" s="142"/>
      <c r="AA481" s="352" t="str">
        <f t="shared" si="646"/>
        <v>atu12e_Dybstrøelse, lang ædeplads med spalter (kanal, linespil) - dybstrøelse</v>
      </c>
    </row>
    <row r="482" spans="3:27" x14ac:dyDescent="0.25">
      <c r="C482" s="311" t="str">
        <f t="shared" si="631"/>
        <v>Dybstrøelse, lang ædeplads med spalter (kanal, linespil)</v>
      </c>
      <c r="D482" s="311" t="str">
        <f t="shared" ref="D482:K482" si="657">D235</f>
        <v>gylle</v>
      </c>
      <c r="E482" s="311">
        <f t="shared" si="657"/>
        <v>7.3599999999999994</v>
      </c>
      <c r="F482" s="311">
        <f t="shared" si="657"/>
        <v>4.84</v>
      </c>
      <c r="G482" s="311">
        <f t="shared" si="657"/>
        <v>0</v>
      </c>
      <c r="H482" s="311">
        <f t="shared" si="657"/>
        <v>0</v>
      </c>
      <c r="I482" s="311">
        <f t="shared" si="657"/>
        <v>0</v>
      </c>
      <c r="J482" s="311">
        <f t="shared" si="657"/>
        <v>0</v>
      </c>
      <c r="K482" s="311">
        <f t="shared" si="657"/>
        <v>55.296000000000006</v>
      </c>
      <c r="O482" s="662"/>
      <c r="P482" s="663"/>
      <c r="Q482" s="352" t="str">
        <f t="shared" si="638"/>
        <v>Dybstrøelse, lang ædeplads med spalter (kanal, linespil)</v>
      </c>
      <c r="R482" s="352" t="str">
        <f t="shared" si="639"/>
        <v>gylle</v>
      </c>
      <c r="S482" s="561">
        <f t="shared" si="640"/>
        <v>12.320889593462715</v>
      </c>
      <c r="T482" s="561">
        <f t="shared" si="641"/>
        <v>8.1023241348314592</v>
      </c>
      <c r="U482" s="352">
        <f t="shared" si="642"/>
        <v>0</v>
      </c>
      <c r="V482" s="352">
        <f t="shared" si="643"/>
        <v>0</v>
      </c>
      <c r="W482" s="352">
        <f t="shared" si="644"/>
        <v>0</v>
      </c>
      <c r="X482" s="142"/>
      <c r="Y482" s="561">
        <f t="shared" si="645"/>
        <v>92.567379206537282</v>
      </c>
      <c r="Z482" s="142"/>
      <c r="AA482" s="352" t="str">
        <f t="shared" si="646"/>
        <v>atu12e_Dybstrøelse, lang ædeplads med spalter (kanal, linespil) - gylle</v>
      </c>
    </row>
    <row r="483" spans="3:27" x14ac:dyDescent="0.25">
      <c r="C483" s="311" t="str">
        <f t="shared" si="631"/>
        <v>Dybstrøelse, lang ædeplads med spalter (kanal, bagskyl eller ringkanal)</v>
      </c>
      <c r="D483" s="311" t="str">
        <f t="shared" ref="D483:K483" si="658">D236</f>
        <v>dybstrøelse</v>
      </c>
      <c r="E483" s="311">
        <f t="shared" si="658"/>
        <v>11.04</v>
      </c>
      <c r="F483" s="311">
        <f t="shared" si="658"/>
        <v>0</v>
      </c>
      <c r="G483" s="311">
        <f t="shared" si="658"/>
        <v>2.2999999999999998</v>
      </c>
      <c r="H483" s="311">
        <f t="shared" si="658"/>
        <v>3.5678749999999999</v>
      </c>
      <c r="I483" s="311">
        <f t="shared" si="658"/>
        <v>677.8962499999999</v>
      </c>
      <c r="J483" s="311">
        <f t="shared" si="658"/>
        <v>0</v>
      </c>
      <c r="K483" s="311">
        <f t="shared" si="658"/>
        <v>82.944000000000003</v>
      </c>
      <c r="O483" s="662"/>
      <c r="P483" s="663"/>
      <c r="Q483" s="352" t="str">
        <f t="shared" si="638"/>
        <v>Dybstrøelse, lang ædeplads med spalter (kanal, bagskyl eller ringkanal)</v>
      </c>
      <c r="R483" s="352" t="str">
        <f t="shared" si="639"/>
        <v>dybstrøelse</v>
      </c>
      <c r="S483" s="561">
        <f t="shared" si="640"/>
        <v>18.481334390194071</v>
      </c>
      <c r="T483" s="561">
        <f t="shared" si="641"/>
        <v>0</v>
      </c>
      <c r="U483" s="352">
        <f t="shared" si="642"/>
        <v>2.2999999999999998</v>
      </c>
      <c r="V483" s="352">
        <f t="shared" si="643"/>
        <v>3.5678749999999999</v>
      </c>
      <c r="W483" s="352">
        <f t="shared" si="644"/>
        <v>677.8962499999999</v>
      </c>
      <c r="X483" s="142"/>
      <c r="Y483" s="561">
        <f t="shared" si="645"/>
        <v>138.85106880980592</v>
      </c>
      <c r="Z483" s="142"/>
      <c r="AA483" s="352" t="str">
        <f t="shared" si="646"/>
        <v>atu12e_Dybstrøelse, lang ædeplads med spalter (kanal, bagskyl eller ringkanal) - dybstrøelse</v>
      </c>
    </row>
    <row r="484" spans="3:27" x14ac:dyDescent="0.25">
      <c r="C484" s="311" t="str">
        <f t="shared" si="631"/>
        <v>Dybstrøelse, lang ædeplads med spalter (kanal, bagskyl eller ringkanal)</v>
      </c>
      <c r="D484" s="311" t="str">
        <f t="shared" ref="D484:K484" si="659">D237</f>
        <v>gylle</v>
      </c>
      <c r="E484" s="311">
        <f t="shared" si="659"/>
        <v>7.3599999999999994</v>
      </c>
      <c r="F484" s="311">
        <f t="shared" si="659"/>
        <v>4.84</v>
      </c>
      <c r="G484" s="311">
        <f t="shared" si="659"/>
        <v>0</v>
      </c>
      <c r="H484" s="311">
        <f t="shared" si="659"/>
        <v>0</v>
      </c>
      <c r="I484" s="311">
        <f t="shared" si="659"/>
        <v>0</v>
      </c>
      <c r="J484" s="311">
        <f t="shared" si="659"/>
        <v>0</v>
      </c>
      <c r="K484" s="311">
        <f t="shared" si="659"/>
        <v>55.296000000000006</v>
      </c>
      <c r="O484" s="662"/>
      <c r="P484" s="663"/>
      <c r="Q484" s="352" t="str">
        <f t="shared" si="638"/>
        <v>Dybstrøelse, lang ædeplads med spalter (kanal, bagskyl eller ringkanal)</v>
      </c>
      <c r="R484" s="352" t="str">
        <f t="shared" si="639"/>
        <v>gylle</v>
      </c>
      <c r="S484" s="561">
        <f t="shared" si="640"/>
        <v>12.320889593462715</v>
      </c>
      <c r="T484" s="561">
        <f t="shared" si="641"/>
        <v>8.1023241348314592</v>
      </c>
      <c r="U484" s="352">
        <f t="shared" si="642"/>
        <v>0</v>
      </c>
      <c r="V484" s="352">
        <f t="shared" si="643"/>
        <v>0</v>
      </c>
      <c r="W484" s="352">
        <f t="shared" si="644"/>
        <v>0</v>
      </c>
      <c r="X484" s="142"/>
      <c r="Y484" s="561">
        <f t="shared" si="645"/>
        <v>92.567379206537282</v>
      </c>
      <c r="Z484" s="142"/>
      <c r="AA484" s="352" t="str">
        <f t="shared" si="646"/>
        <v>atu12e_Dybstrøelse, lang ædeplads med spalter (kanal, bagskyl eller ringkanal) - gylle</v>
      </c>
    </row>
    <row r="485" spans="3:27" x14ac:dyDescent="0.25">
      <c r="C485" s="311" t="str">
        <f t="shared" si="631"/>
        <v>Spaltegulvbokse</v>
      </c>
      <c r="D485" s="311" t="str">
        <f t="shared" ref="D485:K485" si="660">D238</f>
        <v>gylle</v>
      </c>
      <c r="E485" s="311">
        <f t="shared" si="660"/>
        <v>18.399999999999999</v>
      </c>
      <c r="F485" s="311">
        <f t="shared" si="660"/>
        <v>12.1</v>
      </c>
      <c r="G485" s="311">
        <f t="shared" si="660"/>
        <v>0</v>
      </c>
      <c r="H485" s="311">
        <f t="shared" si="660"/>
        <v>0</v>
      </c>
      <c r="I485" s="311">
        <f t="shared" si="660"/>
        <v>0</v>
      </c>
      <c r="J485" s="311">
        <f t="shared" si="660"/>
        <v>0</v>
      </c>
      <c r="K485" s="311">
        <f t="shared" si="660"/>
        <v>138.24</v>
      </c>
      <c r="O485" s="662"/>
      <c r="P485" s="663"/>
      <c r="Q485" s="352" t="str">
        <f t="shared" si="638"/>
        <v>Spaltegulvbokse</v>
      </c>
      <c r="R485" s="352" t="str">
        <f t="shared" si="639"/>
        <v>gylle</v>
      </c>
      <c r="S485" s="561">
        <f t="shared" si="640"/>
        <v>30.802223983656788</v>
      </c>
      <c r="T485" s="561">
        <f t="shared" si="641"/>
        <v>20.25581033707865</v>
      </c>
      <c r="U485" s="352">
        <f t="shared" si="642"/>
        <v>0</v>
      </c>
      <c r="V485" s="352">
        <f t="shared" si="643"/>
        <v>0</v>
      </c>
      <c r="W485" s="352">
        <f t="shared" si="644"/>
        <v>0</v>
      </c>
      <c r="X485" s="142"/>
      <c r="Y485" s="561">
        <f t="shared" si="645"/>
        <v>231.41844801634321</v>
      </c>
      <c r="Z485" s="142"/>
      <c r="AA485" s="352" t="str">
        <f t="shared" si="646"/>
        <v>atu12e_Spaltegulvbokse - gylle</v>
      </c>
    </row>
    <row r="486" spans="3:27" x14ac:dyDescent="0.25">
      <c r="O486" s="662"/>
      <c r="P486" s="663"/>
      <c r="Q486" s="352"/>
      <c r="R486" s="352"/>
      <c r="S486" s="236"/>
      <c r="T486" s="236"/>
      <c r="U486" s="352"/>
      <c r="V486" s="352"/>
      <c r="W486" s="352"/>
      <c r="Y486" s="236"/>
      <c r="AA486" s="352"/>
    </row>
    <row r="487" spans="3:27" x14ac:dyDescent="0.25">
      <c r="N487" s="134" t="str">
        <f>C468</f>
        <v>Ungtyre, 6 mdr. til slagtning (328 kg), Jersey, (1 produceret ungtyr)</v>
      </c>
      <c r="O487" s="662"/>
      <c r="P487" s="663"/>
      <c r="Q487" s="353" t="s">
        <v>482</v>
      </c>
      <c r="R487" s="354"/>
      <c r="S487" s="561">
        <f>E469*$P$488</f>
        <v>54.978267783452495</v>
      </c>
      <c r="T487" s="561">
        <f>F469*$P$488</f>
        <v>36.15418696629213</v>
      </c>
      <c r="U487" s="352"/>
      <c r="V487" s="352"/>
      <c r="W487" s="352"/>
      <c r="X487" s="142"/>
      <c r="Y487" s="561">
        <f>K469*$P$488</f>
        <v>413.05411621654753</v>
      </c>
      <c r="Z487" s="142"/>
      <c r="AA487" s="352"/>
    </row>
    <row r="488" spans="3:27" x14ac:dyDescent="0.25">
      <c r="O488" s="662" t="s">
        <v>435</v>
      </c>
      <c r="P488" s="663">
        <f>(2.308 * (562 - 152) + 0.00676 * (562^2 - 152^2)) / 979</f>
        <v>2.9879493360572011</v>
      </c>
      <c r="Q488" s="352" t="str">
        <f>C470</f>
        <v>Bindestald med grebning</v>
      </c>
      <c r="R488" s="352" t="str">
        <f>D470</f>
        <v>fast gødning</v>
      </c>
      <c r="S488" s="561">
        <f>E470*$P$488</f>
        <v>32.986960670071497</v>
      </c>
      <c r="T488" s="561">
        <f>F470*$P$488</f>
        <v>21.692512179775278</v>
      </c>
      <c r="U488" s="352">
        <f t="shared" ref="U488:W488" si="661">G470</f>
        <v>0.6</v>
      </c>
      <c r="V488" s="352">
        <f t="shared" si="661"/>
        <v>0.93075000000000008</v>
      </c>
      <c r="W488" s="352">
        <f t="shared" si="661"/>
        <v>176.8425</v>
      </c>
      <c r="X488" s="142"/>
      <c r="Y488" s="561">
        <f>K470*$P$488</f>
        <v>0</v>
      </c>
      <c r="Z488" s="142"/>
      <c r="AA488" s="352" t="str">
        <f>$O$488&amp;"_"&amp;Q488&amp;" - "&amp;R488</f>
        <v>ato12e_Bindestald med grebning - fast gødning</v>
      </c>
    </row>
    <row r="489" spans="3:27" x14ac:dyDescent="0.25">
      <c r="O489" s="664" t="s">
        <v>494</v>
      </c>
      <c r="P489" s="663"/>
      <c r="Q489" s="352" t="str">
        <f t="shared" ref="Q489:R489" si="662">C471</f>
        <v>Bindestald med grebning</v>
      </c>
      <c r="R489" s="352" t="str">
        <f t="shared" si="662"/>
        <v>ajle</v>
      </c>
      <c r="S489" s="561">
        <f t="shared" ref="S489:T489" si="663">E471*$P$488</f>
        <v>21.991307113380998</v>
      </c>
      <c r="T489" s="561">
        <f t="shared" si="663"/>
        <v>14.461674786516854</v>
      </c>
      <c r="U489" s="352">
        <f t="shared" ref="U489:U503" si="664">G471</f>
        <v>0</v>
      </c>
      <c r="V489" s="352">
        <f t="shared" ref="V489:V503" si="665">H471</f>
        <v>0</v>
      </c>
      <c r="W489" s="352">
        <f t="shared" ref="W489:W503" si="666">I471</f>
        <v>0</v>
      </c>
      <c r="X489" s="142"/>
      <c r="Y489" s="561">
        <f t="shared" ref="Y489:Y503" si="667">K471*$P$488</f>
        <v>0</v>
      </c>
      <c r="Z489" s="142"/>
      <c r="AA489" s="352" t="str">
        <f t="shared" ref="AA489:AA503" si="668">$O$488&amp;"_"&amp;Q489&amp;" - "&amp;R489</f>
        <v>ato12e_Bindestald med grebning - ajle</v>
      </c>
    </row>
    <row r="490" spans="3:27" x14ac:dyDescent="0.25">
      <c r="O490" s="662"/>
      <c r="P490" s="663"/>
      <c r="Q490" s="352" t="str">
        <f t="shared" ref="Q490:R490" si="669">C472</f>
        <v>Bindestald med riste</v>
      </c>
      <c r="R490" s="352" t="str">
        <f t="shared" si="669"/>
        <v>gylle</v>
      </c>
      <c r="S490" s="561">
        <f t="shared" ref="S490:T490" si="670">E472*$P$488</f>
        <v>54.978267783452495</v>
      </c>
      <c r="T490" s="561">
        <f t="shared" si="670"/>
        <v>36.15418696629213</v>
      </c>
      <c r="U490" s="352">
        <f t="shared" si="664"/>
        <v>0.6</v>
      </c>
      <c r="V490" s="352">
        <f t="shared" si="665"/>
        <v>0.93075000000000008</v>
      </c>
      <c r="W490" s="352">
        <f t="shared" si="666"/>
        <v>176.8425</v>
      </c>
      <c r="X490" s="142"/>
      <c r="Y490" s="561">
        <f t="shared" si="667"/>
        <v>413.05411621654753</v>
      </c>
      <c r="Z490" s="142"/>
      <c r="AA490" s="352" t="str">
        <f t="shared" si="668"/>
        <v>ato12e_Bindestald med riste - gylle</v>
      </c>
    </row>
    <row r="491" spans="3:27" x14ac:dyDescent="0.25">
      <c r="O491" s="662"/>
      <c r="P491" s="663"/>
      <c r="Q491" s="352" t="str">
        <f t="shared" ref="Q491:R491" si="671">C473</f>
        <v>Sengestald med fast gulv</v>
      </c>
      <c r="R491" s="352" t="str">
        <f t="shared" si="671"/>
        <v>gylle</v>
      </c>
      <c r="S491" s="561">
        <f t="shared" ref="S491:T491" si="672">E473*$P$488</f>
        <v>54.978267783452495</v>
      </c>
      <c r="T491" s="561">
        <f t="shared" si="672"/>
        <v>36.15418696629213</v>
      </c>
      <c r="U491" s="352">
        <f t="shared" si="664"/>
        <v>0.2</v>
      </c>
      <c r="V491" s="352">
        <f t="shared" si="665"/>
        <v>0.31025000000000003</v>
      </c>
      <c r="W491" s="352">
        <f t="shared" si="666"/>
        <v>58.947500000000005</v>
      </c>
      <c r="X491" s="142"/>
      <c r="Y491" s="561">
        <f t="shared" si="667"/>
        <v>413.05411621654753</v>
      </c>
      <c r="Z491" s="142"/>
      <c r="AA491" s="352" t="str">
        <f t="shared" si="668"/>
        <v>ato12e_Sengestald med fast gulv - gylle</v>
      </c>
    </row>
    <row r="492" spans="3:27" x14ac:dyDescent="0.25">
      <c r="O492" s="662"/>
      <c r="P492" s="663"/>
      <c r="Q492" s="352" t="str">
        <f t="shared" ref="Q492:R492" si="673">C474</f>
        <v>Sengestald med spaltegulv (kanal, line- spil)</v>
      </c>
      <c r="R492" s="352" t="str">
        <f t="shared" si="673"/>
        <v>gylle</v>
      </c>
      <c r="S492" s="561">
        <f t="shared" ref="S492:T492" si="674">E474*$P$488</f>
        <v>54.978267783452495</v>
      </c>
      <c r="T492" s="561">
        <f t="shared" si="674"/>
        <v>36.15418696629213</v>
      </c>
      <c r="U492" s="352">
        <f t="shared" si="664"/>
        <v>0.2</v>
      </c>
      <c r="V492" s="352">
        <f t="shared" si="665"/>
        <v>0.31025000000000003</v>
      </c>
      <c r="W492" s="352">
        <f t="shared" si="666"/>
        <v>58.947500000000005</v>
      </c>
      <c r="X492" s="142"/>
      <c r="Y492" s="561">
        <f t="shared" si="667"/>
        <v>413.05411621654753</v>
      </c>
      <c r="Z492" s="142"/>
      <c r="AA492" s="352" t="str">
        <f t="shared" si="668"/>
        <v>ato12e_Sengestald med spaltegulv (kanal, line- spil) - gylle</v>
      </c>
    </row>
    <row r="493" spans="3:27" x14ac:dyDescent="0.25">
      <c r="O493" s="662"/>
      <c r="P493" s="663"/>
      <c r="Q493" s="352" t="str">
        <f t="shared" ref="Q493:R493" si="675">C475</f>
        <v>Sengestald med spaltegulv (kanal, bagskyl eller ringkanal)</v>
      </c>
      <c r="R493" s="352" t="str">
        <f t="shared" si="675"/>
        <v>gylle</v>
      </c>
      <c r="S493" s="561">
        <f t="shared" ref="S493:T493" si="676">E475*$P$488</f>
        <v>54.978267783452495</v>
      </c>
      <c r="T493" s="561">
        <f t="shared" si="676"/>
        <v>36.15418696629213</v>
      </c>
      <c r="U493" s="352">
        <f t="shared" si="664"/>
        <v>0.2</v>
      </c>
      <c r="V493" s="352">
        <f t="shared" si="665"/>
        <v>0.31025000000000003</v>
      </c>
      <c r="W493" s="352">
        <f t="shared" si="666"/>
        <v>58.947500000000005</v>
      </c>
      <c r="X493" s="142"/>
      <c r="Y493" s="561">
        <f t="shared" si="667"/>
        <v>413.05411621654753</v>
      </c>
      <c r="Z493" s="142"/>
      <c r="AA493" s="352" t="str">
        <f t="shared" si="668"/>
        <v>ato12e_Sengestald med spaltegulv (kanal, bagskyl eller ringkanal) - gylle</v>
      </c>
    </row>
    <row r="494" spans="3:27" x14ac:dyDescent="0.25">
      <c r="O494" s="662"/>
      <c r="P494" s="663"/>
      <c r="Q494" s="352" t="str">
        <f t="shared" ref="Q494:R494" si="677">C476</f>
        <v>Sengestald, fast drænet gulv med skra- ber og ajleafløb *)</v>
      </c>
      <c r="R494" s="352" t="str">
        <f t="shared" si="677"/>
        <v>gylle</v>
      </c>
      <c r="S494" s="561">
        <f t="shared" ref="S494:T494" si="678">E476*$P$488</f>
        <v>54.978267783452495</v>
      </c>
      <c r="T494" s="561">
        <f t="shared" si="678"/>
        <v>36.15418696629213</v>
      </c>
      <c r="U494" s="352">
        <f t="shared" si="664"/>
        <v>0.2</v>
      </c>
      <c r="V494" s="352">
        <f t="shared" si="665"/>
        <v>0.31025000000000003</v>
      </c>
      <c r="W494" s="352">
        <f t="shared" si="666"/>
        <v>58.947500000000005</v>
      </c>
      <c r="X494" s="142"/>
      <c r="Y494" s="561">
        <f t="shared" si="667"/>
        <v>413.05411621654753</v>
      </c>
      <c r="Z494" s="142"/>
      <c r="AA494" s="352" t="str">
        <f t="shared" si="668"/>
        <v>ato12e_Sengestald, fast drænet gulv med skra- ber og ajleafløb *) - gylle</v>
      </c>
    </row>
    <row r="495" spans="3:27" x14ac:dyDescent="0.25">
      <c r="O495" s="662"/>
      <c r="P495" s="663"/>
      <c r="Q495" s="352" t="str">
        <f t="shared" ref="Q495:R495" si="679">C477</f>
        <v>Dybstrøelse, hele arealet</v>
      </c>
      <c r="R495" s="352" t="str">
        <f t="shared" si="679"/>
        <v>dybstrøelse</v>
      </c>
      <c r="S495" s="561">
        <f t="shared" ref="S495:T495" si="680">E477*$P$488</f>
        <v>54.978267783452495</v>
      </c>
      <c r="T495" s="561">
        <f t="shared" si="680"/>
        <v>0</v>
      </c>
      <c r="U495" s="352">
        <f t="shared" si="664"/>
        <v>2.9</v>
      </c>
      <c r="V495" s="352">
        <f t="shared" si="665"/>
        <v>4.4986249999999997</v>
      </c>
      <c r="W495" s="352">
        <f t="shared" si="666"/>
        <v>854.73874999999987</v>
      </c>
      <c r="X495" s="142"/>
      <c r="Y495" s="561">
        <f t="shared" si="667"/>
        <v>413.05411621654753</v>
      </c>
      <c r="Z495" s="142"/>
      <c r="AA495" s="352" t="str">
        <f t="shared" si="668"/>
        <v>ato12e_Dybstrøelse, hele arealet - dybstrøelse</v>
      </c>
    </row>
    <row r="496" spans="3:27" x14ac:dyDescent="0.25">
      <c r="O496" s="662"/>
      <c r="P496" s="663"/>
      <c r="Q496" s="352" t="str">
        <f t="shared" ref="Q496:R496" si="681">C478</f>
        <v>Dybstrøelse + kort ædeplads med fast gulv</v>
      </c>
      <c r="R496" s="352" t="str">
        <f t="shared" si="681"/>
        <v>dybstrøelse</v>
      </c>
      <c r="S496" s="561">
        <f t="shared" ref="S496:T496" si="682">E478*$P$488</f>
        <v>54.978267783452495</v>
      </c>
      <c r="T496" s="561">
        <f t="shared" si="682"/>
        <v>0</v>
      </c>
      <c r="U496" s="352">
        <f t="shared" si="664"/>
        <v>2.4</v>
      </c>
      <c r="V496" s="352">
        <f t="shared" si="665"/>
        <v>3.7230000000000003</v>
      </c>
      <c r="W496" s="352">
        <f t="shared" si="666"/>
        <v>707.37</v>
      </c>
      <c r="X496" s="142"/>
      <c r="Y496" s="561">
        <f t="shared" si="667"/>
        <v>413.05411621654753</v>
      </c>
      <c r="Z496" s="142"/>
      <c r="AA496" s="352" t="str">
        <f t="shared" si="668"/>
        <v>ato12e_Dybstrøelse + kort ædeplads med fast gulv - dybstrøelse</v>
      </c>
    </row>
    <row r="497" spans="15:27" x14ac:dyDescent="0.25">
      <c r="O497" s="662"/>
      <c r="P497" s="663"/>
      <c r="Q497" s="352" t="str">
        <f t="shared" ref="Q497:R497" si="683">C479</f>
        <v>Dybstrøelse, lang ædeplads med fast gulv</v>
      </c>
      <c r="R497" s="352" t="str">
        <f t="shared" si="683"/>
        <v>dybstrøelse</v>
      </c>
      <c r="S497" s="561">
        <f t="shared" ref="S497:T497" si="684">E479*$P$488</f>
        <v>32.986960670071497</v>
      </c>
      <c r="T497" s="561">
        <f t="shared" si="684"/>
        <v>0</v>
      </c>
      <c r="U497" s="352">
        <f t="shared" si="664"/>
        <v>2.2999999999999998</v>
      </c>
      <c r="V497" s="352">
        <f t="shared" si="665"/>
        <v>3.5678749999999999</v>
      </c>
      <c r="W497" s="352">
        <f t="shared" si="666"/>
        <v>677.8962499999999</v>
      </c>
      <c r="X497" s="142"/>
      <c r="Y497" s="561">
        <f t="shared" si="667"/>
        <v>247.8324697299285</v>
      </c>
      <c r="Z497" s="142"/>
      <c r="AA497" s="352" t="str">
        <f t="shared" si="668"/>
        <v>ato12e_Dybstrøelse, lang ædeplads med fast gulv - dybstrøelse</v>
      </c>
    </row>
    <row r="498" spans="15:27" x14ac:dyDescent="0.25">
      <c r="O498" s="662"/>
      <c r="P498" s="663"/>
      <c r="Q498" s="352" t="str">
        <f t="shared" ref="Q498:R498" si="685">C480</f>
        <v>Dybstrøelse, lang ædeplads med fast gulv</v>
      </c>
      <c r="R498" s="352" t="str">
        <f t="shared" si="685"/>
        <v>gylle</v>
      </c>
      <c r="S498" s="561">
        <f t="shared" ref="S498:T498" si="686">E480*$P$488</f>
        <v>21.991307113380998</v>
      </c>
      <c r="T498" s="561">
        <f t="shared" si="686"/>
        <v>14.461674786516854</v>
      </c>
      <c r="U498" s="352">
        <f t="shared" si="664"/>
        <v>0</v>
      </c>
      <c r="V498" s="352">
        <f t="shared" si="665"/>
        <v>0</v>
      </c>
      <c r="W498" s="352">
        <f t="shared" si="666"/>
        <v>0</v>
      </c>
      <c r="X498" s="142"/>
      <c r="Y498" s="561">
        <f t="shared" si="667"/>
        <v>165.22164648661902</v>
      </c>
      <c r="Z498" s="142"/>
      <c r="AA498" s="352" t="str">
        <f t="shared" si="668"/>
        <v>ato12e_Dybstrøelse, lang ædeplads med fast gulv - gylle</v>
      </c>
    </row>
    <row r="499" spans="15:27" x14ac:dyDescent="0.25">
      <c r="O499" s="662"/>
      <c r="P499" s="663"/>
      <c r="Q499" s="352" t="str">
        <f t="shared" ref="Q499:R499" si="687">C481</f>
        <v>Dybstrøelse, lang ædeplads med spalter (kanal, linespil)</v>
      </c>
      <c r="R499" s="352" t="str">
        <f t="shared" si="687"/>
        <v>dybstrøelse</v>
      </c>
      <c r="S499" s="561">
        <f t="shared" ref="S499:T499" si="688">E481*$P$488</f>
        <v>32.986960670071497</v>
      </c>
      <c r="T499" s="561">
        <f t="shared" si="688"/>
        <v>0</v>
      </c>
      <c r="U499" s="352">
        <f t="shared" si="664"/>
        <v>2.2999999999999998</v>
      </c>
      <c r="V499" s="352">
        <f t="shared" si="665"/>
        <v>3.5678749999999999</v>
      </c>
      <c r="W499" s="352">
        <f t="shared" si="666"/>
        <v>677.8962499999999</v>
      </c>
      <c r="X499" s="142"/>
      <c r="Y499" s="561">
        <f t="shared" si="667"/>
        <v>247.8324697299285</v>
      </c>
      <c r="Z499" s="142"/>
      <c r="AA499" s="352" t="str">
        <f t="shared" si="668"/>
        <v>ato12e_Dybstrøelse, lang ædeplads med spalter (kanal, linespil) - dybstrøelse</v>
      </c>
    </row>
    <row r="500" spans="15:27" x14ac:dyDescent="0.25">
      <c r="O500" s="662"/>
      <c r="P500" s="663"/>
      <c r="Q500" s="352" t="str">
        <f t="shared" ref="Q500:R500" si="689">C482</f>
        <v>Dybstrøelse, lang ædeplads med spalter (kanal, linespil)</v>
      </c>
      <c r="R500" s="352" t="str">
        <f t="shared" si="689"/>
        <v>gylle</v>
      </c>
      <c r="S500" s="561">
        <f t="shared" ref="S500:T500" si="690">E482*$P$488</f>
        <v>21.991307113380998</v>
      </c>
      <c r="T500" s="561">
        <f t="shared" si="690"/>
        <v>14.461674786516854</v>
      </c>
      <c r="U500" s="352">
        <f t="shared" si="664"/>
        <v>0</v>
      </c>
      <c r="V500" s="352">
        <f t="shared" si="665"/>
        <v>0</v>
      </c>
      <c r="W500" s="352">
        <f t="shared" si="666"/>
        <v>0</v>
      </c>
      <c r="X500" s="142"/>
      <c r="Y500" s="561">
        <f t="shared" si="667"/>
        <v>165.22164648661902</v>
      </c>
      <c r="Z500" s="142"/>
      <c r="AA500" s="352" t="str">
        <f t="shared" si="668"/>
        <v>ato12e_Dybstrøelse, lang ædeplads med spalter (kanal, linespil) - gylle</v>
      </c>
    </row>
    <row r="501" spans="15:27" x14ac:dyDescent="0.25">
      <c r="O501" s="662"/>
      <c r="P501" s="663"/>
      <c r="Q501" s="352" t="str">
        <f t="shared" ref="Q501:R501" si="691">C483</f>
        <v>Dybstrøelse, lang ædeplads med spalter (kanal, bagskyl eller ringkanal)</v>
      </c>
      <c r="R501" s="352" t="str">
        <f t="shared" si="691"/>
        <v>dybstrøelse</v>
      </c>
      <c r="S501" s="561">
        <f t="shared" ref="S501:T501" si="692">E483*$P$488</f>
        <v>32.986960670071497</v>
      </c>
      <c r="T501" s="561">
        <f t="shared" si="692"/>
        <v>0</v>
      </c>
      <c r="U501" s="352">
        <f t="shared" si="664"/>
        <v>2.2999999999999998</v>
      </c>
      <c r="V501" s="352">
        <f t="shared" si="665"/>
        <v>3.5678749999999999</v>
      </c>
      <c r="W501" s="352">
        <f t="shared" si="666"/>
        <v>677.8962499999999</v>
      </c>
      <c r="X501" s="142"/>
      <c r="Y501" s="561">
        <f t="shared" si="667"/>
        <v>247.8324697299285</v>
      </c>
      <c r="Z501" s="142"/>
      <c r="AA501" s="352" t="str">
        <f t="shared" si="668"/>
        <v>ato12e_Dybstrøelse, lang ædeplads med spalter (kanal, bagskyl eller ringkanal) - dybstrøelse</v>
      </c>
    </row>
    <row r="502" spans="15:27" x14ac:dyDescent="0.25">
      <c r="O502" s="662"/>
      <c r="P502" s="663"/>
      <c r="Q502" s="352" t="str">
        <f t="shared" ref="Q502:R502" si="693">C484</f>
        <v>Dybstrøelse, lang ædeplads med spalter (kanal, bagskyl eller ringkanal)</v>
      </c>
      <c r="R502" s="352" t="str">
        <f t="shared" si="693"/>
        <v>gylle</v>
      </c>
      <c r="S502" s="561">
        <f t="shared" ref="S502:T502" si="694">E484*$P$488</f>
        <v>21.991307113380998</v>
      </c>
      <c r="T502" s="561">
        <f t="shared" si="694"/>
        <v>14.461674786516854</v>
      </c>
      <c r="U502" s="352">
        <f t="shared" si="664"/>
        <v>0</v>
      </c>
      <c r="V502" s="352">
        <f t="shared" si="665"/>
        <v>0</v>
      </c>
      <c r="W502" s="352">
        <f t="shared" si="666"/>
        <v>0</v>
      </c>
      <c r="X502" s="142"/>
      <c r="Y502" s="561">
        <f t="shared" si="667"/>
        <v>165.22164648661902</v>
      </c>
      <c r="Z502" s="142"/>
      <c r="AA502" s="352" t="str">
        <f t="shared" si="668"/>
        <v>ato12e_Dybstrøelse, lang ædeplads med spalter (kanal, bagskyl eller ringkanal) - gylle</v>
      </c>
    </row>
    <row r="503" spans="15:27" x14ac:dyDescent="0.25">
      <c r="O503" s="662"/>
      <c r="P503" s="663"/>
      <c r="Q503" s="352" t="str">
        <f t="shared" ref="Q503:R503" si="695">C485</f>
        <v>Spaltegulvbokse</v>
      </c>
      <c r="R503" s="352" t="str">
        <f t="shared" si="695"/>
        <v>gylle</v>
      </c>
      <c r="S503" s="561">
        <f t="shared" ref="S503:T503" si="696">E485*$P$488</f>
        <v>54.978267783452495</v>
      </c>
      <c r="T503" s="561">
        <f t="shared" si="696"/>
        <v>36.15418696629213</v>
      </c>
      <c r="U503" s="352">
        <f t="shared" si="664"/>
        <v>0</v>
      </c>
      <c r="V503" s="352">
        <f t="shared" si="665"/>
        <v>0</v>
      </c>
      <c r="W503" s="352">
        <f t="shared" si="666"/>
        <v>0</v>
      </c>
      <c r="X503" s="142"/>
      <c r="Y503" s="561">
        <f t="shared" si="667"/>
        <v>413.05411621654753</v>
      </c>
      <c r="Z503" s="142"/>
      <c r="AA503" s="352" t="str">
        <f t="shared" si="668"/>
        <v>ato12e_Spaltegulvbokse - gylle</v>
      </c>
    </row>
    <row r="504" spans="15:27" x14ac:dyDescent="0.25">
      <c r="O504" s="662"/>
      <c r="P504" s="663"/>
      <c r="Q504" s="352"/>
      <c r="R504" s="352"/>
      <c r="S504" s="144"/>
      <c r="T504" s="144"/>
      <c r="U504" s="352"/>
      <c r="V504" s="352"/>
      <c r="W504" s="352"/>
      <c r="X504" s="142"/>
      <c r="Y504" s="561"/>
      <c r="Z504" s="142"/>
      <c r="AA504" s="352"/>
    </row>
    <row r="505" spans="15:27" x14ac:dyDescent="0.25">
      <c r="O505" s="662"/>
      <c r="P505" s="663"/>
      <c r="Q505" s="352"/>
      <c r="R505" s="352"/>
      <c r="S505" s="144"/>
      <c r="T505" s="144"/>
      <c r="U505" s="352"/>
      <c r="V505" s="352"/>
      <c r="W505" s="352"/>
      <c r="X505" s="142"/>
      <c r="Y505" s="144"/>
      <c r="Z505" s="142"/>
      <c r="AA505" s="352"/>
    </row>
    <row r="506" spans="15:27" x14ac:dyDescent="0.25">
      <c r="O506" s="662"/>
      <c r="P506" s="663"/>
      <c r="Q506" s="352"/>
      <c r="R506" s="352"/>
      <c r="S506" s="144"/>
      <c r="T506" s="144"/>
      <c r="U506" s="352"/>
      <c r="V506" s="352"/>
      <c r="W506" s="352"/>
      <c r="X506" s="142"/>
      <c r="Y506" s="144"/>
      <c r="Z506" s="142"/>
      <c r="AA506" s="352"/>
    </row>
    <row r="507" spans="15:27" x14ac:dyDescent="0.25">
      <c r="O507" s="662"/>
      <c r="P507" s="663"/>
      <c r="Q507" s="352"/>
      <c r="R507" s="352"/>
      <c r="U507" s="352"/>
      <c r="V507" s="352"/>
      <c r="W507" s="352"/>
      <c r="AA507" s="352"/>
    </row>
    <row r="508" spans="15:27" x14ac:dyDescent="0.25">
      <c r="O508" s="662"/>
      <c r="P508" s="663"/>
      <c r="U508" s="352"/>
      <c r="V508" s="352"/>
      <c r="W508" s="352"/>
      <c r="AA508" s="352"/>
    </row>
    <row r="509" spans="15:27" x14ac:dyDescent="0.25">
      <c r="O509" s="662"/>
      <c r="P509" s="663"/>
      <c r="AA509" s="352"/>
    </row>
    <row r="510" spans="15:27" x14ac:dyDescent="0.25">
      <c r="O510" s="662"/>
      <c r="P510" s="663"/>
      <c r="AA510" s="352"/>
    </row>
    <row r="511" spans="15:27" x14ac:dyDescent="0.25">
      <c r="O511" s="662"/>
      <c r="P511" s="663"/>
    </row>
    <row r="512" spans="15:27" x14ac:dyDescent="0.25">
      <c r="O512" s="662"/>
      <c r="P512" s="663"/>
    </row>
    <row r="513" spans="15:16" x14ac:dyDescent="0.25">
      <c r="O513" s="662"/>
      <c r="P513" s="663"/>
    </row>
    <row r="514" spans="15:16" x14ac:dyDescent="0.25">
      <c r="O514" s="662"/>
      <c r="P514" s="663"/>
    </row>
    <row r="515" spans="15:16" x14ac:dyDescent="0.25">
      <c r="O515" s="662"/>
      <c r="P515" s="663"/>
    </row>
    <row r="516" spans="15:16" x14ac:dyDescent="0.25">
      <c r="O516" s="662"/>
      <c r="P516" s="663"/>
    </row>
    <row r="517" spans="15:16" x14ac:dyDescent="0.25">
      <c r="O517" s="662"/>
      <c r="P517" s="663"/>
    </row>
    <row r="518" spans="15:16" x14ac:dyDescent="0.25">
      <c r="O518" s="662"/>
      <c r="P518" s="663"/>
    </row>
    <row r="519" spans="15:16" x14ac:dyDescent="0.25">
      <c r="O519" s="662"/>
      <c r="P519" s="663"/>
    </row>
    <row r="520" spans="15:16" x14ac:dyDescent="0.25">
      <c r="O520" s="662"/>
      <c r="P520" s="663"/>
    </row>
    <row r="521" spans="15:16" x14ac:dyDescent="0.25">
      <c r="O521" s="662"/>
      <c r="P521" s="663"/>
    </row>
    <row r="522" spans="15:16" x14ac:dyDescent="0.25">
      <c r="O522" s="662"/>
      <c r="P522" s="663"/>
    </row>
    <row r="523" spans="15:16" x14ac:dyDescent="0.25">
      <c r="O523" s="662"/>
      <c r="P523" s="663"/>
    </row>
    <row r="524" spans="15:16" x14ac:dyDescent="0.25">
      <c r="O524" s="662"/>
      <c r="P524" s="663"/>
    </row>
    <row r="525" spans="15:16" x14ac:dyDescent="0.25">
      <c r="O525" s="662"/>
      <c r="P525" s="663"/>
    </row>
    <row r="526" spans="15:16" x14ac:dyDescent="0.25">
      <c r="O526" s="662"/>
      <c r="P526" s="663"/>
    </row>
    <row r="527" spans="15:16" x14ac:dyDescent="0.25">
      <c r="O527" s="662"/>
      <c r="P527" s="663"/>
    </row>
    <row r="528" spans="15:16" x14ac:dyDescent="0.25">
      <c r="O528" s="662"/>
      <c r="P528" s="663"/>
    </row>
    <row r="529" spans="15:16" x14ac:dyDescent="0.25">
      <c r="O529" s="662"/>
      <c r="P529" s="663"/>
    </row>
    <row r="530" spans="15:16" x14ac:dyDescent="0.25">
      <c r="O530" s="662"/>
      <c r="P530" s="663"/>
    </row>
    <row r="531" spans="15:16" x14ac:dyDescent="0.25">
      <c r="O531" s="662"/>
      <c r="P531" s="663"/>
    </row>
    <row r="532" spans="15:16" x14ac:dyDescent="0.25">
      <c r="O532" s="662"/>
      <c r="P532" s="663"/>
    </row>
    <row r="533" spans="15:16" x14ac:dyDescent="0.25">
      <c r="O533" s="662"/>
      <c r="P533" s="663"/>
    </row>
    <row r="534" spans="15:16" x14ac:dyDescent="0.25">
      <c r="O534" s="662"/>
      <c r="P534" s="663"/>
    </row>
    <row r="535" spans="15:16" x14ac:dyDescent="0.25">
      <c r="O535" s="662"/>
      <c r="P535" s="663"/>
    </row>
    <row r="536" spans="15:16" x14ac:dyDescent="0.25">
      <c r="O536" s="662"/>
      <c r="P536" s="663"/>
    </row>
    <row r="537" spans="15:16" x14ac:dyDescent="0.25">
      <c r="O537" s="662"/>
      <c r="P537" s="663"/>
    </row>
    <row r="538" spans="15:16" x14ac:dyDescent="0.25">
      <c r="O538" s="662"/>
      <c r="P538" s="663"/>
    </row>
    <row r="539" spans="15:16" x14ac:dyDescent="0.25">
      <c r="O539" s="662"/>
      <c r="P539" s="663"/>
    </row>
    <row r="540" spans="15:16" x14ac:dyDescent="0.25">
      <c r="O540" s="662"/>
      <c r="P540" s="663"/>
    </row>
    <row r="541" spans="15:16" x14ac:dyDescent="0.25">
      <c r="O541" s="662"/>
      <c r="P541" s="663"/>
    </row>
    <row r="542" spans="15:16" x14ac:dyDescent="0.25">
      <c r="O542" s="662"/>
      <c r="P542" s="663"/>
    </row>
    <row r="543" spans="15:16" x14ac:dyDescent="0.25">
      <c r="O543" s="662"/>
      <c r="P543" s="663"/>
    </row>
    <row r="544" spans="15:16" x14ac:dyDescent="0.25">
      <c r="O544" s="662"/>
      <c r="P544" s="663"/>
    </row>
    <row r="545" spans="3:51" x14ac:dyDescent="0.25">
      <c r="O545" s="662"/>
      <c r="P545" s="663"/>
    </row>
    <row r="546" spans="3:51" x14ac:dyDescent="0.25">
      <c r="O546" s="662"/>
      <c r="P546" s="663"/>
    </row>
    <row r="547" spans="3:51" x14ac:dyDescent="0.25">
      <c r="O547" s="662"/>
      <c r="P547" s="663"/>
    </row>
    <row r="548" spans="3:51" x14ac:dyDescent="0.25">
      <c r="O548" s="662"/>
      <c r="P548" s="663"/>
    </row>
    <row r="549" spans="3:51" ht="23.25" x14ac:dyDescent="0.35">
      <c r="C549" s="350" t="s">
        <v>457</v>
      </c>
      <c r="D549" s="350"/>
      <c r="E549" s="351"/>
      <c r="F549" s="351"/>
      <c r="G549" s="350"/>
      <c r="H549" s="350"/>
      <c r="I549" s="351"/>
      <c r="J549" s="350" t="s">
        <v>457</v>
      </c>
      <c r="K549" s="350"/>
      <c r="L549" s="350"/>
      <c r="M549" s="350"/>
      <c r="N549" s="563"/>
      <c r="O549" s="588"/>
      <c r="P549" s="589"/>
      <c r="Q549" s="351"/>
      <c r="R549" s="350"/>
      <c r="S549" s="350"/>
      <c r="T549" s="350" t="s">
        <v>457</v>
      </c>
      <c r="U549" s="351"/>
      <c r="V549" s="350"/>
      <c r="W549" s="350"/>
      <c r="X549" s="351"/>
      <c r="Y549" s="351"/>
      <c r="Z549" s="350"/>
      <c r="AA549" s="350"/>
      <c r="AB549" s="351"/>
      <c r="AC549" s="351"/>
      <c r="AD549" s="350"/>
      <c r="AE549" s="350"/>
      <c r="AF549" s="351"/>
      <c r="AG549" s="350"/>
      <c r="AH549" s="350"/>
      <c r="AI549" s="351"/>
      <c r="AJ549" s="351"/>
      <c r="AK549" s="350"/>
      <c r="AL549" s="350"/>
      <c r="AM549" s="351"/>
      <c r="AN549" s="351"/>
      <c r="AO549" s="350"/>
      <c r="AP549" s="350"/>
      <c r="AQ549" s="351"/>
      <c r="AR549" s="351"/>
      <c r="AS549" s="350"/>
      <c r="AT549" s="350"/>
      <c r="AU549" s="351"/>
      <c r="AV549" s="350" t="s">
        <v>457</v>
      </c>
      <c r="AW549" s="350"/>
    </row>
    <row r="550" spans="3:51" s="350" customFormat="1" ht="23.25" x14ac:dyDescent="0.35">
      <c r="C550" s="350" t="s">
        <v>458</v>
      </c>
      <c r="J550" s="350" t="s">
        <v>458</v>
      </c>
      <c r="N550" s="564"/>
      <c r="O550" s="588"/>
      <c r="P550" s="589"/>
      <c r="T550" s="350" t="s">
        <v>458</v>
      </c>
      <c r="AV550" s="350" t="s">
        <v>458</v>
      </c>
      <c r="AX550" s="351"/>
      <c r="AY550" s="351"/>
    </row>
    <row r="551" spans="3:51" s="57" customFormat="1" x14ac:dyDescent="0.25">
      <c r="E551" s="349"/>
      <c r="F551" s="349"/>
      <c r="N551" s="565"/>
      <c r="O551" s="565"/>
      <c r="P551" s="565"/>
    </row>
  </sheetData>
  <sheetProtection algorithmName="SHA-512" hashValue="UpPrZ/0oT1aMVp8FPV0e7cQ7U3kjrw/5Sq7BZ+mVXbAEuxChwibl0sVPggis9OI5+a1XnLoHGFKEioVeVqMYLQ==" saltValue="gymAujmLC8lVldpcWUBEPQ==" spinCount="100000" sheet="1" objects="1" scenarios="1"/>
  <mergeCells count="4">
    <mergeCell ref="E3:F3"/>
    <mergeCell ref="S3:T3"/>
    <mergeCell ref="A1:M1"/>
    <mergeCell ref="N1:AC1"/>
  </mergeCells>
  <phoneticPr fontId="17"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sheetPr>
  <dimension ref="A1:AZ403"/>
  <sheetViews>
    <sheetView topLeftCell="A305" zoomScale="55" zoomScaleNormal="55" workbookViewId="0">
      <selection activeCell="AH367" sqref="AH367"/>
    </sheetView>
  </sheetViews>
  <sheetFormatPr defaultRowHeight="15" outlineLevelCol="1" x14ac:dyDescent="0.25"/>
  <cols>
    <col min="2" max="2" width="70.28515625" hidden="1" customWidth="1" outlineLevel="1"/>
    <col min="3" max="3" width="43.85546875" hidden="1" customWidth="1" outlineLevel="1"/>
    <col min="4" max="4" width="21" hidden="1" customWidth="1" outlineLevel="1"/>
    <col min="5" max="5" width="21.7109375" hidden="1" customWidth="1" outlineLevel="1"/>
    <col min="6" max="6" width="36.85546875" hidden="1" customWidth="1" outlineLevel="1"/>
    <col min="7" max="7" width="18.7109375" hidden="1" customWidth="1" outlineLevel="1"/>
    <col min="8" max="16" width="9.140625" hidden="1" customWidth="1" outlineLevel="1"/>
    <col min="17" max="17" width="21.7109375" customWidth="1" collapsed="1"/>
    <col min="20" max="20" width="8.28515625" customWidth="1"/>
    <col min="23" max="23" width="26.5703125" customWidth="1"/>
    <col min="26" max="26" width="43" customWidth="1"/>
    <col min="27" max="27" width="20" customWidth="1"/>
    <col min="28" max="28" width="12.28515625" customWidth="1"/>
    <col min="29" max="29" width="12.5703125" customWidth="1"/>
    <col min="30" max="30" width="45" style="202" customWidth="1"/>
    <col min="33" max="33" width="9" style="179" customWidth="1"/>
    <col min="34" max="34" width="9.42578125" style="179" customWidth="1"/>
    <col min="35" max="35" width="26.5703125" style="179" customWidth="1"/>
    <col min="36" max="36" width="13" style="179" bestFit="1" customWidth="1"/>
    <col min="37" max="37" width="10.85546875" style="179" customWidth="1"/>
    <col min="38" max="38" width="43" style="179" customWidth="1"/>
    <col min="39" max="39" width="20" style="179" customWidth="1"/>
    <col min="40" max="41" width="13" style="179" customWidth="1"/>
    <col min="42" max="42" width="45" style="179" customWidth="1"/>
    <col min="43" max="43" width="11.5703125" style="205" customWidth="1"/>
    <col min="44" max="44" width="11.7109375" style="179" customWidth="1"/>
    <col min="45" max="45" width="10.7109375" customWidth="1"/>
    <col min="47" max="47" width="41.7109375" customWidth="1"/>
    <col min="48" max="48" width="8.7109375" customWidth="1"/>
    <col min="49" max="49" width="8.85546875" bestFit="1" customWidth="1"/>
    <col min="50" max="50" width="13" bestFit="1" customWidth="1"/>
    <col min="51" max="51" width="26" style="474" bestFit="1" customWidth="1"/>
  </cols>
  <sheetData>
    <row r="1" spans="1:45" x14ac:dyDescent="0.25">
      <c r="B1" s="91">
        <v>1</v>
      </c>
      <c r="C1" s="91">
        <v>2</v>
      </c>
      <c r="D1" s="91">
        <v>3</v>
      </c>
      <c r="E1" s="91">
        <v>4</v>
      </c>
      <c r="F1" s="91">
        <v>5</v>
      </c>
      <c r="G1" s="91">
        <v>6</v>
      </c>
      <c r="H1" s="91">
        <v>7</v>
      </c>
      <c r="I1" s="91">
        <v>8</v>
      </c>
      <c r="J1" s="91">
        <v>9</v>
      </c>
      <c r="K1" s="91">
        <v>10</v>
      </c>
      <c r="L1" s="91">
        <v>11</v>
      </c>
      <c r="M1" s="91">
        <v>12</v>
      </c>
      <c r="N1" s="91">
        <v>13</v>
      </c>
      <c r="O1" s="91">
        <v>14</v>
      </c>
      <c r="P1" s="91">
        <v>15</v>
      </c>
      <c r="Q1" s="91">
        <v>16</v>
      </c>
      <c r="R1" s="91">
        <v>17</v>
      </c>
      <c r="S1" s="91">
        <v>18</v>
      </c>
      <c r="T1" s="91">
        <v>19</v>
      </c>
      <c r="U1" s="91">
        <v>20</v>
      </c>
      <c r="AF1" s="140" t="s">
        <v>203</v>
      </c>
      <c r="AG1" s="174"/>
      <c r="AH1" s="174"/>
      <c r="AI1" s="174"/>
      <c r="AJ1" s="174"/>
      <c r="AK1" s="174"/>
      <c r="AL1" s="174"/>
      <c r="AM1" s="174"/>
      <c r="AN1" s="174"/>
      <c r="AO1" s="174"/>
      <c r="AP1" s="174"/>
      <c r="AQ1" s="174"/>
      <c r="AR1" s="174"/>
      <c r="AS1" s="180"/>
    </row>
    <row r="2" spans="1:45" x14ac:dyDescent="0.25">
      <c r="A2" s="91">
        <v>1</v>
      </c>
      <c r="B2" s="25" t="str">
        <f t="array" ref="B2:U30">EF!B2:U30</f>
        <v>Staldtype</v>
      </c>
      <c r="C2" s="14" t="str">
        <v>Gødningsfordeling</v>
      </c>
      <c r="D2" s="14" t="str">
        <v>direct N2O-N, % af N</v>
      </c>
      <c r="E2" s="14" t="str">
        <v>direct N2O-N, % af N</v>
      </c>
      <c r="F2" s="14" t="str">
        <v>Reference</v>
      </c>
      <c r="G2" s="14" t="str">
        <v>NH3, % af TAN ab dyr</v>
      </c>
      <c r="H2" s="14" t="str">
        <v>NH3, % af total-N ab dyr</v>
      </c>
      <c r="I2" s="14" t="str">
        <v>Reference</v>
      </c>
      <c r="J2" s="14" t="str">
        <v>Nox, % af N</v>
      </c>
      <c r="K2" s="14" t="str">
        <v>Nox, % af N</v>
      </c>
      <c r="L2" s="14" t="str">
        <v>Reference</v>
      </c>
      <c r="M2" s="14" t="str">
        <v>N2, % af N</v>
      </c>
      <c r="N2" s="14" t="str">
        <v>N2, % af N</v>
      </c>
      <c r="O2" s="14" t="str">
        <v>Reference</v>
      </c>
      <c r="P2" s="14">
        <v>0</v>
      </c>
      <c r="Q2" s="14" t="str">
        <v>Faktorer</v>
      </c>
      <c r="R2" s="14" t="str">
        <v>Malkekøer</v>
      </c>
      <c r="S2" s="14" t="str">
        <v>Andre kvæg</v>
      </c>
      <c r="T2" s="14" t="str">
        <v>Reference</v>
      </c>
      <c r="U2" s="15">
        <v>0</v>
      </c>
      <c r="AF2" s="140" t="s">
        <v>203</v>
      </c>
      <c r="AG2" s="174"/>
      <c r="AH2" s="174"/>
      <c r="AI2" s="174"/>
      <c r="AJ2" s="174"/>
      <c r="AK2" s="174"/>
      <c r="AL2" s="174"/>
      <c r="AM2" s="174"/>
      <c r="AN2" s="174"/>
      <c r="AO2" s="174"/>
      <c r="AP2" s="174"/>
      <c r="AQ2" s="174"/>
      <c r="AR2" s="174"/>
      <c r="AS2" s="174"/>
    </row>
    <row r="3" spans="1:45" x14ac:dyDescent="0.25">
      <c r="A3" s="91">
        <v>2</v>
      </c>
      <c r="B3" s="21">
        <v>0</v>
      </c>
      <c r="C3" s="5">
        <v>0</v>
      </c>
      <c r="D3" s="5" t="str">
        <v>Gylle</v>
      </c>
      <c r="E3" s="5" t="str">
        <v>Dybstrøelse, no mixing</v>
      </c>
      <c r="F3" s="5">
        <v>0</v>
      </c>
      <c r="G3" s="5" t="str">
        <v>Gylle</v>
      </c>
      <c r="H3" s="5" t="str">
        <v>Dybstrøelse</v>
      </c>
      <c r="I3" s="5">
        <v>0</v>
      </c>
      <c r="J3" s="5" t="str">
        <v>Gylle</v>
      </c>
      <c r="K3" s="5" t="str">
        <v>Dybstrøelse</v>
      </c>
      <c r="L3" s="5">
        <v>0</v>
      </c>
      <c r="M3" s="5" t="str">
        <v>Gylle</v>
      </c>
      <c r="N3" s="5" t="str">
        <v>Dybstrøelse</v>
      </c>
      <c r="O3" s="5">
        <v>0</v>
      </c>
      <c r="P3" s="5">
        <v>0</v>
      </c>
      <c r="Q3" s="5" t="str">
        <v>B0</v>
      </c>
      <c r="R3" s="5">
        <v>0.24</v>
      </c>
      <c r="S3" s="5">
        <v>0.18</v>
      </c>
      <c r="T3" s="5" t="str">
        <v>IPCC, 2019 - TABLE 10.16</v>
      </c>
      <c r="U3" s="18">
        <v>0</v>
      </c>
      <c r="AF3" s="140" t="s">
        <v>203</v>
      </c>
      <c r="AG3" s="174"/>
      <c r="AH3" s="174"/>
      <c r="AI3" s="174"/>
      <c r="AJ3" s="174"/>
      <c r="AK3" s="174"/>
      <c r="AL3" s="174"/>
      <c r="AM3" s="174"/>
      <c r="AN3" s="174"/>
      <c r="AO3" s="174"/>
      <c r="AP3" s="174"/>
      <c r="AQ3" s="174"/>
      <c r="AR3" s="174"/>
      <c r="AS3" s="174"/>
    </row>
    <row r="4" spans="1:45" x14ac:dyDescent="0.25">
      <c r="A4" s="91">
        <v>3</v>
      </c>
      <c r="B4" s="21" t="str">
        <v>Bindestald med grebning</v>
      </c>
      <c r="C4" s="5" t="str">
        <v>60 % Fast gødning - 40 % ajle</v>
      </c>
      <c r="D4" s="5">
        <v>0.2</v>
      </c>
      <c r="E4" s="5">
        <v>1</v>
      </c>
      <c r="F4" s="5" t="str">
        <v>IPCC, 2019 - TABLE 10.21 , EF3</v>
      </c>
      <c r="G4" s="5">
        <v>10</v>
      </c>
      <c r="H4" s="5">
        <v>0</v>
      </c>
      <c r="I4" s="5">
        <v>0</v>
      </c>
      <c r="J4" s="5">
        <v>0</v>
      </c>
      <c r="K4" s="5">
        <v>0</v>
      </c>
      <c r="L4" s="5">
        <v>0</v>
      </c>
      <c r="M4" s="5">
        <v>0</v>
      </c>
      <c r="N4" s="5">
        <v>0</v>
      </c>
      <c r="O4" s="5">
        <v>0</v>
      </c>
      <c r="P4" s="5">
        <v>0</v>
      </c>
      <c r="Q4" s="5">
        <v>0</v>
      </c>
      <c r="R4" s="5">
        <v>0</v>
      </c>
      <c r="S4" s="5">
        <v>0</v>
      </c>
      <c r="T4" s="5">
        <v>0</v>
      </c>
      <c r="U4" s="18">
        <v>0</v>
      </c>
      <c r="AF4" s="140" t="s">
        <v>203</v>
      </c>
      <c r="AG4" s="174"/>
      <c r="AH4" s="174"/>
      <c r="AI4" s="174"/>
      <c r="AJ4" s="174"/>
      <c r="AK4" s="174"/>
      <c r="AL4" s="174"/>
      <c r="AM4" s="174"/>
      <c r="AN4" s="174"/>
      <c r="AO4" s="174"/>
      <c r="AP4" s="174"/>
      <c r="AQ4" s="174"/>
      <c r="AR4" s="174"/>
      <c r="AS4" s="180"/>
    </row>
    <row r="5" spans="1:45" x14ac:dyDescent="0.25">
      <c r="A5" s="91">
        <v>4</v>
      </c>
      <c r="B5" s="21" t="str">
        <v xml:space="preserve">Bindestald med riste </v>
      </c>
      <c r="C5" s="5" t="str">
        <v>100% gyllesystem</v>
      </c>
      <c r="D5" s="5">
        <v>0.2</v>
      </c>
      <c r="E5" s="5">
        <v>0</v>
      </c>
      <c r="F5" s="5" t="str">
        <v>IPCC, 2019 - TABLE 10.21, EF3</v>
      </c>
      <c r="G5" s="5">
        <v>6</v>
      </c>
      <c r="H5" s="5">
        <v>0</v>
      </c>
      <c r="I5" s="5" t="str">
        <v>Normtal, AU</v>
      </c>
      <c r="J5" s="5">
        <v>0.2</v>
      </c>
      <c r="K5" s="5">
        <v>0</v>
      </c>
      <c r="L5" s="5" t="str">
        <v>Dammgen &amp; Hutchings, 2008</v>
      </c>
      <c r="M5" s="5">
        <v>0.6</v>
      </c>
      <c r="N5" s="5">
        <v>0</v>
      </c>
      <c r="O5" s="5" t="str">
        <v>Vinther, F.P, 2005</v>
      </c>
      <c r="P5" s="5">
        <v>0</v>
      </c>
      <c r="Q5" s="5">
        <v>0</v>
      </c>
      <c r="R5" s="5" t="str">
        <v>MCF %</v>
      </c>
      <c r="S5" s="5">
        <v>0</v>
      </c>
      <c r="T5" s="5" t="str">
        <v>Reference</v>
      </c>
      <c r="U5" s="18">
        <v>0</v>
      </c>
      <c r="AF5" s="140" t="s">
        <v>203</v>
      </c>
      <c r="AG5" s="174"/>
      <c r="AH5" s="174"/>
      <c r="AI5" s="174"/>
      <c r="AJ5" s="174"/>
      <c r="AK5" s="174"/>
      <c r="AL5" s="174"/>
      <c r="AM5" s="174"/>
      <c r="AN5" s="174"/>
      <c r="AO5" s="174"/>
      <c r="AP5" s="174"/>
      <c r="AQ5" s="174"/>
      <c r="AR5" s="206"/>
      <c r="AS5" s="181"/>
    </row>
    <row r="6" spans="1:45" x14ac:dyDescent="0.25">
      <c r="A6" s="91">
        <v>5</v>
      </c>
      <c r="B6" s="21" t="str">
        <v>Sengestald med spalter (kanal, linespil)</v>
      </c>
      <c r="C6" s="5" t="str">
        <v>100% gyllesystem</v>
      </c>
      <c r="D6" s="5">
        <v>0.2</v>
      </c>
      <c r="E6" s="5">
        <v>0</v>
      </c>
      <c r="F6" s="5" t="str">
        <v>IPCC, 2019 - TABLE 10.21, EF3</v>
      </c>
      <c r="G6" s="5">
        <v>12</v>
      </c>
      <c r="H6" s="5">
        <v>0</v>
      </c>
      <c r="I6" s="5" t="str">
        <v>Normtal, AU</v>
      </c>
      <c r="J6" s="5">
        <v>0.2</v>
      </c>
      <c r="K6" s="5">
        <v>0</v>
      </c>
      <c r="L6" s="5" t="str">
        <v>Dammgen &amp; Hutchings, 2008</v>
      </c>
      <c r="M6" s="5">
        <v>0.6</v>
      </c>
      <c r="N6" s="5">
        <v>0</v>
      </c>
      <c r="O6" s="5" t="str">
        <v>Vinther, F.P, 2005</v>
      </c>
      <c r="P6" s="5">
        <v>0</v>
      </c>
      <c r="Q6" s="5" t="str">
        <v xml:space="preserve">Gylle </v>
      </c>
      <c r="R6" s="5">
        <v>12.4</v>
      </c>
      <c r="S6" s="5">
        <v>0</v>
      </c>
      <c r="T6" s="5" t="str">
        <v>Nielsen et al. 2020</v>
      </c>
      <c r="U6" s="18">
        <v>0</v>
      </c>
      <c r="AF6" s="140" t="s">
        <v>203</v>
      </c>
      <c r="AG6" s="174"/>
      <c r="AH6" s="174"/>
      <c r="AI6" s="174"/>
      <c r="AJ6" s="174"/>
      <c r="AK6" s="174"/>
      <c r="AL6" s="174"/>
      <c r="AM6" s="174"/>
      <c r="AN6" s="174"/>
      <c r="AO6" s="174"/>
      <c r="AP6" s="174"/>
      <c r="AQ6" s="174"/>
      <c r="AR6" s="326"/>
      <c r="AS6" s="181"/>
    </row>
    <row r="7" spans="1:45" x14ac:dyDescent="0.25">
      <c r="A7" s="91">
        <v>6</v>
      </c>
      <c r="B7" s="21" t="str">
        <v>Sengestald med spalter (kanal, bagskyl eller ringkanal)</v>
      </c>
      <c r="C7" s="5" t="str">
        <v>100% gyllesystem</v>
      </c>
      <c r="D7" s="5">
        <v>0.2</v>
      </c>
      <c r="E7" s="5">
        <v>0</v>
      </c>
      <c r="F7" s="5" t="str">
        <v>IPCC, 2019 - TABLE 10.21, EF3</v>
      </c>
      <c r="G7" s="5">
        <v>13.5</v>
      </c>
      <c r="H7" s="5">
        <v>0</v>
      </c>
      <c r="I7" s="5" t="str">
        <v>Normtal, AU</v>
      </c>
      <c r="J7" s="5">
        <v>0.2</v>
      </c>
      <c r="K7" s="5">
        <v>0</v>
      </c>
      <c r="L7" s="5" t="str">
        <v>Dammgen &amp; Hutchings, 2008</v>
      </c>
      <c r="M7" s="5">
        <v>0.6</v>
      </c>
      <c r="N7" s="5">
        <v>0</v>
      </c>
      <c r="O7" s="5" t="str">
        <v>Vinther, F.P, 2005</v>
      </c>
      <c r="P7" s="5">
        <v>0</v>
      </c>
      <c r="Q7" s="5" t="str">
        <v>Forsuring</v>
      </c>
      <c r="R7" s="5">
        <v>-0.6</v>
      </c>
      <c r="S7" s="5">
        <v>0</v>
      </c>
      <c r="T7" s="5" t="str">
        <v>Miljøstyrelsen, besøg 26. nov 2020 og personlig kommentar fra Torkild Birkemose, SEGES - https://mst.dk/erhverv/landbrug/miljoeteknologi-og-bat/teknologilisten/gaa-til-teknologilisten/staldindretning/    or Olesen et al.. 2018</v>
      </c>
      <c r="U7" s="18">
        <v>0</v>
      </c>
      <c r="AF7" s="140" t="s">
        <v>203</v>
      </c>
      <c r="AG7" s="174"/>
      <c r="AH7" s="174"/>
      <c r="AI7" s="174"/>
      <c r="AJ7" s="174"/>
      <c r="AK7" s="174"/>
      <c r="AL7" s="174"/>
      <c r="AM7" s="174"/>
      <c r="AN7" s="174"/>
      <c r="AO7" s="174"/>
      <c r="AP7" s="174"/>
      <c r="AQ7" s="206"/>
      <c r="AR7" s="174"/>
      <c r="AS7" s="7"/>
    </row>
    <row r="8" spans="1:45" x14ac:dyDescent="0.25">
      <c r="A8" s="91">
        <v>7</v>
      </c>
      <c r="B8" s="21" t="str">
        <v>Sengestald med fast gulv</v>
      </c>
      <c r="C8" s="5" t="str">
        <v>100% gyllesystem</v>
      </c>
      <c r="D8" s="5">
        <v>0.2</v>
      </c>
      <c r="E8" s="5">
        <v>0</v>
      </c>
      <c r="F8" s="5" t="str">
        <v>IPCC, 2019 - TABLE 10.21, EF3</v>
      </c>
      <c r="G8" s="5">
        <v>20</v>
      </c>
      <c r="H8" s="5">
        <v>0</v>
      </c>
      <c r="I8" s="5" t="str">
        <v>Normtal, AU</v>
      </c>
      <c r="J8" s="5">
        <v>0.2</v>
      </c>
      <c r="K8" s="5">
        <v>0</v>
      </c>
      <c r="L8" s="5" t="str">
        <v>Dammgen &amp; Hutchings, 2008</v>
      </c>
      <c r="M8" s="5">
        <v>0.6</v>
      </c>
      <c r="N8" s="5">
        <v>0</v>
      </c>
      <c r="O8" s="5" t="str">
        <v>Vinther, F.P, 2005</v>
      </c>
      <c r="P8" s="5">
        <v>0</v>
      </c>
      <c r="Q8" s="5" t="str">
        <v>Biogas</v>
      </c>
      <c r="R8" s="5">
        <v>-0.4</v>
      </c>
      <c r="S8" s="5">
        <v>0</v>
      </c>
      <c r="T8" s="5" t="str">
        <v>Nielsen et al. 2020</v>
      </c>
      <c r="U8" s="18">
        <v>0</v>
      </c>
      <c r="AF8" s="140" t="s">
        <v>203</v>
      </c>
      <c r="AG8" s="174"/>
      <c r="AH8" s="174"/>
      <c r="AI8" s="174"/>
      <c r="AJ8" s="174"/>
      <c r="AK8" s="174"/>
      <c r="AL8" s="174"/>
      <c r="AM8" s="174"/>
      <c r="AN8" s="174"/>
      <c r="AO8" s="174"/>
      <c r="AP8" s="174"/>
      <c r="AQ8" s="206"/>
      <c r="AR8" s="174"/>
      <c r="AS8" s="7"/>
    </row>
    <row r="9" spans="1:45" x14ac:dyDescent="0.25">
      <c r="A9" s="91">
        <v>8</v>
      </c>
      <c r="B9" s="21" t="str">
        <v>Sengestald med fast drænet gulv</v>
      </c>
      <c r="C9" s="5" t="str">
        <v>100% gyllesystem</v>
      </c>
      <c r="D9" s="5">
        <v>0.2</v>
      </c>
      <c r="E9" s="5">
        <v>0</v>
      </c>
      <c r="F9" s="5" t="str">
        <v>IPCC, 2019 - TABLE 10.21, EF3</v>
      </c>
      <c r="G9" s="5">
        <v>10.4</v>
      </c>
      <c r="H9" s="5">
        <v>0</v>
      </c>
      <c r="I9" s="5" t="str">
        <v>Normtal, AU</v>
      </c>
      <c r="J9" s="5">
        <v>0.2</v>
      </c>
      <c r="K9" s="5">
        <v>0</v>
      </c>
      <c r="L9" s="5" t="str">
        <v>Dammgen &amp; Hutchings, 2008</v>
      </c>
      <c r="M9" s="5">
        <v>0.6</v>
      </c>
      <c r="N9" s="5">
        <v>0</v>
      </c>
      <c r="O9" s="5" t="str">
        <v>Vinther, F.P, 2005</v>
      </c>
      <c r="P9" s="5">
        <v>0</v>
      </c>
      <c r="Q9" s="5" t="str">
        <v>Dybstrøelse</v>
      </c>
      <c r="R9" s="5">
        <v>21</v>
      </c>
      <c r="S9" s="5">
        <v>0</v>
      </c>
      <c r="T9" s="5" t="str">
        <v>IPCC, 2019 - TABLE 10.17</v>
      </c>
      <c r="U9" s="18">
        <v>0</v>
      </c>
      <c r="AF9" s="140" t="s">
        <v>203</v>
      </c>
      <c r="AG9" s="174"/>
      <c r="AH9" s="174"/>
      <c r="AI9" s="174"/>
      <c r="AJ9" s="174"/>
      <c r="AK9" s="174"/>
      <c r="AL9" s="174"/>
      <c r="AM9" s="174"/>
      <c r="AN9" s="174"/>
      <c r="AO9" s="174"/>
      <c r="AP9" s="174"/>
      <c r="AQ9" s="206"/>
      <c r="AR9" s="174"/>
      <c r="AS9" s="7"/>
    </row>
    <row r="10" spans="1:45" x14ac:dyDescent="0.25">
      <c r="A10" s="91">
        <v>9</v>
      </c>
      <c r="B10" s="21">
        <v>0</v>
      </c>
      <c r="C10" s="5">
        <v>0</v>
      </c>
      <c r="D10" s="5">
        <v>0</v>
      </c>
      <c r="E10" s="5">
        <v>0</v>
      </c>
      <c r="F10" s="5">
        <v>0</v>
      </c>
      <c r="G10" s="5">
        <v>0</v>
      </c>
      <c r="H10" s="5">
        <v>0</v>
      </c>
      <c r="I10" s="5">
        <v>0</v>
      </c>
      <c r="J10" s="5">
        <v>0</v>
      </c>
      <c r="K10" s="5">
        <v>0</v>
      </c>
      <c r="L10" s="5">
        <v>0</v>
      </c>
      <c r="M10" s="5">
        <v>0</v>
      </c>
      <c r="N10" s="5">
        <v>0</v>
      </c>
      <c r="O10" s="5">
        <v>0</v>
      </c>
      <c r="P10" s="5">
        <v>0</v>
      </c>
      <c r="Q10" s="5" t="str">
        <v>Afgræsning</v>
      </c>
      <c r="R10" s="5">
        <v>0.47</v>
      </c>
      <c r="S10" s="5">
        <v>0</v>
      </c>
      <c r="T10" s="5" t="str">
        <v>IPCC, 2019 - TABLE 10.17  (0.47%)</v>
      </c>
      <c r="U10" s="18">
        <v>0</v>
      </c>
      <c r="AF10" s="140" t="s">
        <v>203</v>
      </c>
      <c r="AG10" s="174"/>
      <c r="AH10" s="174"/>
      <c r="AI10" s="174"/>
      <c r="AJ10" s="174"/>
      <c r="AK10" s="174"/>
      <c r="AL10" s="174"/>
      <c r="AM10" s="174"/>
      <c r="AN10" s="174"/>
      <c r="AO10" s="174"/>
      <c r="AP10" s="174"/>
      <c r="AQ10" s="206"/>
      <c r="AR10" s="174"/>
      <c r="AS10" s="7"/>
    </row>
    <row r="11" spans="1:45" x14ac:dyDescent="0.25">
      <c r="A11" s="91">
        <v>10</v>
      </c>
      <c r="B11" s="21" t="str">
        <v>Dybstrøelse (hele arealet)</v>
      </c>
      <c r="C11" s="5" t="str">
        <v>100 % dybstrøelsessystem</v>
      </c>
      <c r="D11" s="5">
        <v>0</v>
      </c>
      <c r="E11" s="5">
        <v>1</v>
      </c>
      <c r="F11" s="5" t="str">
        <v xml:space="preserve">IPCC, 2019 - TABLE 10.21 </v>
      </c>
      <c r="G11" s="5">
        <v>0</v>
      </c>
      <c r="H11" s="5">
        <v>6</v>
      </c>
      <c r="I11" s="5" t="str">
        <v>Normtal, AU</v>
      </c>
      <c r="J11" s="5">
        <v>0</v>
      </c>
      <c r="K11" s="5">
        <v>1</v>
      </c>
      <c r="L11" s="5" t="str">
        <v>Dammgen &amp; Hutchings, 2008</v>
      </c>
      <c r="M11" s="5">
        <v>0</v>
      </c>
      <c r="N11" s="5">
        <v>0.1</v>
      </c>
      <c r="O11" s="5" t="str">
        <v>Vinther, F.P, 2005</v>
      </c>
      <c r="P11" s="5">
        <v>0</v>
      </c>
      <c r="Q11" s="5">
        <v>0</v>
      </c>
      <c r="R11" s="5">
        <v>0</v>
      </c>
      <c r="S11" s="5">
        <v>0</v>
      </c>
      <c r="T11" s="5">
        <v>0</v>
      </c>
      <c r="U11" s="18">
        <v>0</v>
      </c>
    </row>
    <row r="12" spans="1:45" x14ac:dyDescent="0.25">
      <c r="A12" s="91">
        <v>11</v>
      </c>
      <c r="B12" s="21" t="str">
        <v>Dybstrøelse, kort ædeplads</v>
      </c>
      <c r="C12" s="5" t="str">
        <v>100 % dybstrøelsessystem</v>
      </c>
      <c r="D12" s="5">
        <v>0</v>
      </c>
      <c r="E12" s="5">
        <v>1</v>
      </c>
      <c r="F12" s="5" t="str">
        <v>IPCC, 2019 - TABLE 10.21, EF3</v>
      </c>
      <c r="G12" s="5">
        <v>0</v>
      </c>
      <c r="H12" s="5">
        <v>6</v>
      </c>
      <c r="I12" s="5" t="str">
        <v>Normtal, AU</v>
      </c>
      <c r="J12" s="5">
        <v>0</v>
      </c>
      <c r="K12" s="5">
        <v>1</v>
      </c>
      <c r="L12" s="5" t="str">
        <v>Dammgen &amp; Hutchings, 2008</v>
      </c>
      <c r="M12" s="5">
        <v>0</v>
      </c>
      <c r="N12" s="5">
        <v>0.1</v>
      </c>
      <c r="O12" s="5" t="str">
        <v>Vinther, F.P, 2005</v>
      </c>
      <c r="P12" s="5">
        <v>0</v>
      </c>
      <c r="Q12" s="5" t="str">
        <v>Omregning fra emissionsgas til CO2 eq</v>
      </c>
      <c r="R12" s="5">
        <v>0</v>
      </c>
      <c r="S12" s="5">
        <v>0</v>
      </c>
      <c r="T12" s="5" t="str">
        <v>Reference</v>
      </c>
      <c r="U12" s="18">
        <v>0</v>
      </c>
    </row>
    <row r="13" spans="1:45" x14ac:dyDescent="0.25">
      <c r="A13" s="91">
        <v>12</v>
      </c>
      <c r="B13" s="21" t="str">
        <v>Dybstrøelse, lang ædeplads med fast gulv</v>
      </c>
      <c r="C13" s="5" t="str">
        <v>60 % dybstrøelsessystem - 40 % gyllesystem</v>
      </c>
      <c r="D13" s="5">
        <v>0.2</v>
      </c>
      <c r="E13" s="5">
        <v>1</v>
      </c>
      <c r="F13" s="5" t="str">
        <v>IPCC, 2019 - TABLE 10.21, EF3</v>
      </c>
      <c r="G13" s="5">
        <v>20</v>
      </c>
      <c r="H13" s="5">
        <v>6</v>
      </c>
      <c r="I13" s="5" t="str">
        <v>Normtal, AU</v>
      </c>
      <c r="J13" s="5">
        <v>0.2</v>
      </c>
      <c r="K13" s="5">
        <v>1</v>
      </c>
      <c r="L13" s="5" t="str">
        <v>Dammgen &amp; Hutchings, 2008</v>
      </c>
      <c r="M13" s="5">
        <v>0.6</v>
      </c>
      <c r="N13" s="5">
        <v>0.1</v>
      </c>
      <c r="O13" s="5" t="str">
        <v>Vinther, F.P, 2005</v>
      </c>
      <c r="P13" s="5">
        <v>0</v>
      </c>
      <c r="Q13" s="5" t="str">
        <v>Lattergas</v>
      </c>
      <c r="R13" s="5">
        <v>273</v>
      </c>
      <c r="S13" s="5" t="str">
        <v>CO2eq</v>
      </c>
      <c r="T13" s="5" t="str">
        <v>IPCC, 2021. IPCC_AR6_WGI_Full_Report, The Physical Science Basis</v>
      </c>
      <c r="U13" s="18">
        <v>0</v>
      </c>
    </row>
    <row r="14" spans="1:45" x14ac:dyDescent="0.25">
      <c r="A14" s="91">
        <v>13</v>
      </c>
      <c r="B14" s="21" t="str">
        <v>Dybstrøelse, lang ædeplads med spalter (kanal, linespil)</v>
      </c>
      <c r="C14" s="5" t="str">
        <v>60 % dybstrøelsessystem - 40 % gyllesystem</v>
      </c>
      <c r="D14" s="5">
        <v>0.2</v>
      </c>
      <c r="E14" s="5">
        <v>1</v>
      </c>
      <c r="F14" s="5" t="str">
        <v>IPCC, 2019 - TABLE 10.21, EF3</v>
      </c>
      <c r="G14" s="5">
        <v>12</v>
      </c>
      <c r="H14" s="5">
        <v>6</v>
      </c>
      <c r="I14" s="5" t="str">
        <v>Normtal, AU</v>
      </c>
      <c r="J14" s="5">
        <v>0.2</v>
      </c>
      <c r="K14" s="5">
        <v>1</v>
      </c>
      <c r="L14" s="5" t="str">
        <v>Dammgen &amp; Hutchings, 2008</v>
      </c>
      <c r="M14" s="5">
        <v>0.6</v>
      </c>
      <c r="N14" s="5">
        <v>0.1</v>
      </c>
      <c r="O14" s="5" t="str">
        <v>Vinther, F.P, 2005</v>
      </c>
      <c r="P14" s="5">
        <v>0</v>
      </c>
      <c r="Q14" s="5" t="str">
        <v>Metan</v>
      </c>
      <c r="R14" s="5">
        <v>27.9</v>
      </c>
      <c r="S14" s="5" t="str">
        <v>CO2eq</v>
      </c>
      <c r="T14" s="5" t="str">
        <v>IPCC, 2021. IPCC_AR6_WGI_Full_Report, The Physical Science Basis</v>
      </c>
      <c r="U14" s="18">
        <v>0</v>
      </c>
    </row>
    <row r="15" spans="1:45" x14ac:dyDescent="0.25">
      <c r="A15" s="91">
        <v>14</v>
      </c>
      <c r="B15" s="21" t="str">
        <v>Dybstrøelse, lang ædeplads med spalter (kanal, bagskyl eller ringkanal)</v>
      </c>
      <c r="C15" s="5" t="str">
        <v>60 % dybstrøelsessystem - 40 % gyllesystem</v>
      </c>
      <c r="D15" s="5">
        <v>0.2</v>
      </c>
      <c r="E15" s="5">
        <v>1</v>
      </c>
      <c r="F15" s="5" t="str">
        <v>IPCC, 2019 - TABLE 10.21, EF3</v>
      </c>
      <c r="G15" s="5">
        <v>13.5</v>
      </c>
      <c r="H15" s="5">
        <v>6</v>
      </c>
      <c r="I15" s="5" t="str">
        <v>Normtal, AU</v>
      </c>
      <c r="J15" s="5">
        <v>0.2</v>
      </c>
      <c r="K15" s="5">
        <v>1</v>
      </c>
      <c r="L15" s="5" t="str">
        <v>Dammgen &amp; Hutchings, 2008</v>
      </c>
      <c r="M15" s="5">
        <v>0.6</v>
      </c>
      <c r="N15" s="5">
        <v>0.1</v>
      </c>
      <c r="O15" s="5" t="str">
        <v>Vinther, F.P, 2005</v>
      </c>
      <c r="P15" s="5">
        <v>0</v>
      </c>
      <c r="Q15" s="5">
        <v>0</v>
      </c>
      <c r="R15" s="5">
        <v>0</v>
      </c>
      <c r="S15" s="5">
        <v>0</v>
      </c>
      <c r="T15" s="5">
        <v>0</v>
      </c>
      <c r="U15" s="18">
        <v>0</v>
      </c>
    </row>
    <row r="16" spans="1:45" x14ac:dyDescent="0.25">
      <c r="A16" s="91">
        <v>15</v>
      </c>
      <c r="B16" s="21" t="str">
        <v>Dybstrøelse, lang ædeplads, fast drænet gulv med skraber og ajleafløb</v>
      </c>
      <c r="C16" s="5" t="str">
        <v>60 % dybstrøelsessystem - 40 % gyllesystem</v>
      </c>
      <c r="D16" s="5">
        <v>0.2</v>
      </c>
      <c r="E16" s="5">
        <v>1</v>
      </c>
      <c r="F16" s="5" t="str">
        <v>IPCC, 2019 - TABLE 10.21, EF3</v>
      </c>
      <c r="G16" s="5">
        <v>0</v>
      </c>
      <c r="H16" s="5">
        <v>0</v>
      </c>
      <c r="I16" s="5">
        <v>0</v>
      </c>
      <c r="J16" s="5">
        <v>0</v>
      </c>
      <c r="K16" s="5">
        <v>0</v>
      </c>
      <c r="L16" s="5">
        <v>0</v>
      </c>
      <c r="M16" s="5">
        <v>0</v>
      </c>
      <c r="N16" s="5">
        <v>0</v>
      </c>
      <c r="O16" s="5">
        <v>0</v>
      </c>
      <c r="P16" s="5">
        <v>0</v>
      </c>
      <c r="Q16" s="5">
        <v>0</v>
      </c>
      <c r="R16" s="5">
        <v>0</v>
      </c>
      <c r="S16" s="5">
        <v>0</v>
      </c>
      <c r="T16" s="5" t="str">
        <v>Reference</v>
      </c>
      <c r="U16" s="18">
        <v>0</v>
      </c>
    </row>
    <row r="17" spans="1:51" x14ac:dyDescent="0.25">
      <c r="A17" s="91">
        <v>16</v>
      </c>
      <c r="B17" s="21" t="str">
        <v>Spaltegulvsbokse</v>
      </c>
      <c r="C17" s="5" t="str">
        <v>100 % gylle</v>
      </c>
      <c r="D17" s="5">
        <v>0.2</v>
      </c>
      <c r="E17" s="5">
        <v>0</v>
      </c>
      <c r="F17" s="5" t="str">
        <v>IPCC, 2019 - TABLE 10.21, EF3</v>
      </c>
      <c r="G17" s="5">
        <v>16</v>
      </c>
      <c r="H17" s="5">
        <v>0</v>
      </c>
      <c r="I17" s="5" t="str">
        <v>Normtal, AU</v>
      </c>
      <c r="J17" s="5">
        <v>0</v>
      </c>
      <c r="K17" s="5">
        <v>0</v>
      </c>
      <c r="L17" s="5">
        <v>0</v>
      </c>
      <c r="M17" s="5">
        <v>0</v>
      </c>
      <c r="N17" s="5">
        <v>0</v>
      </c>
      <c r="O17" s="5">
        <v>0</v>
      </c>
      <c r="P17" s="5">
        <v>0</v>
      </c>
      <c r="Q17" s="5" t="str">
        <v>Antal dage gylle i stalden</v>
      </c>
      <c r="R17" s="5">
        <v>182.5</v>
      </c>
      <c r="S17" s="5" t="str">
        <v>days</v>
      </c>
      <c r="T17" s="5" t="str">
        <v>assumption</v>
      </c>
      <c r="U17" s="18">
        <v>0</v>
      </c>
    </row>
    <row r="18" spans="1:51" x14ac:dyDescent="0.25">
      <c r="A18" s="91">
        <v>17</v>
      </c>
      <c r="B18" s="21">
        <v>0</v>
      </c>
      <c r="C18" s="5">
        <v>0</v>
      </c>
      <c r="D18" s="5">
        <v>0</v>
      </c>
      <c r="E18" s="5">
        <v>0</v>
      </c>
      <c r="F18" s="5">
        <v>0</v>
      </c>
      <c r="G18" s="5">
        <v>0</v>
      </c>
      <c r="H18" s="5" t="str">
        <v>NH3, % af total-N ab dyr (FracGASM)</v>
      </c>
      <c r="I18" s="5">
        <v>0</v>
      </c>
      <c r="J18" s="5">
        <v>0</v>
      </c>
      <c r="K18" s="5">
        <v>0</v>
      </c>
      <c r="L18" s="5">
        <v>0</v>
      </c>
      <c r="M18" s="5">
        <v>0</v>
      </c>
      <c r="N18" s="5">
        <v>0</v>
      </c>
      <c r="O18" s="5">
        <v>0</v>
      </c>
      <c r="P18" s="5">
        <v>0</v>
      </c>
      <c r="Q18" s="5">
        <v>0</v>
      </c>
      <c r="R18" s="5">
        <v>0</v>
      </c>
      <c r="S18" s="5">
        <v>0</v>
      </c>
      <c r="T18" s="5">
        <v>0</v>
      </c>
      <c r="U18" s="18">
        <v>0</v>
      </c>
    </row>
    <row r="19" spans="1:51" x14ac:dyDescent="0.25">
      <c r="A19" s="91">
        <v>18</v>
      </c>
      <c r="B19" s="21" t="str">
        <v>Afgræsning</v>
      </c>
      <c r="C19" s="5">
        <v>0</v>
      </c>
      <c r="D19" s="5">
        <v>0.4</v>
      </c>
      <c r="E19" s="5">
        <v>0</v>
      </c>
      <c r="F19" s="5" t="str">
        <v>IPCC, 2019 - TABLE 11.1, EF3prp, cpp</v>
      </c>
      <c r="G19" s="5">
        <v>0</v>
      </c>
      <c r="H19" s="5">
        <v>0.21</v>
      </c>
      <c r="I19" s="5" t="str">
        <v>IPCC, 2019 - TABLE 11.3, FracGASM</v>
      </c>
      <c r="J19" s="5">
        <v>0.2</v>
      </c>
      <c r="K19" s="5">
        <v>0</v>
      </c>
      <c r="L19" s="5" t="str">
        <v>Dammgen &amp; Hutchings, 2008</v>
      </c>
      <c r="M19" s="5">
        <v>6</v>
      </c>
      <c r="N19" s="5">
        <v>0</v>
      </c>
      <c r="O19" s="5" t="str">
        <v>Vinther, F.P, 2005</v>
      </c>
      <c r="P19" s="5">
        <v>0</v>
      </c>
      <c r="Q19" s="5" t="str">
        <v>[N volatilisation and re-deposition]</v>
      </c>
      <c r="R19" s="5">
        <v>0</v>
      </c>
      <c r="S19" s="5">
        <v>0</v>
      </c>
      <c r="T19" s="5" t="str">
        <v>Reference</v>
      </c>
      <c r="U19" s="18">
        <v>0</v>
      </c>
    </row>
    <row r="20" spans="1:51" x14ac:dyDescent="0.25">
      <c r="A20" s="91">
        <v>19</v>
      </c>
      <c r="B20" s="21">
        <v>0</v>
      </c>
      <c r="C20" s="5">
        <v>0</v>
      </c>
      <c r="D20" s="5">
        <v>0</v>
      </c>
      <c r="E20" s="5">
        <v>0</v>
      </c>
      <c r="F20" s="5">
        <v>0</v>
      </c>
      <c r="G20" s="5">
        <v>0</v>
      </c>
      <c r="H20" s="5">
        <v>0</v>
      </c>
      <c r="I20" s="5">
        <v>0</v>
      </c>
      <c r="J20" s="5">
        <v>0</v>
      </c>
      <c r="K20" s="5">
        <v>0</v>
      </c>
      <c r="L20" s="5">
        <v>0</v>
      </c>
      <c r="M20" s="5">
        <v>0</v>
      </c>
      <c r="N20" s="5">
        <v>0</v>
      </c>
      <c r="O20" s="5">
        <v>0</v>
      </c>
      <c r="P20" s="5">
        <v>0</v>
      </c>
      <c r="Q20" s="5" t="str">
        <v>EF4</v>
      </c>
      <c r="R20" s="5">
        <v>0.01</v>
      </c>
      <c r="S20" s="5" t="str">
        <v>kg N2O–N (kg NH3–N + NOX–N volatilised)-1</v>
      </c>
      <c r="T20" s="5" t="str">
        <v>IPCC, 2019 - TABLE 11.3</v>
      </c>
      <c r="U20" s="18">
        <v>0</v>
      </c>
    </row>
    <row r="21" spans="1:51" x14ac:dyDescent="0.25">
      <c r="A21" s="91">
        <v>20</v>
      </c>
      <c r="B21" s="21" t="str">
        <v>Lager - gyllesystem</v>
      </c>
      <c r="C21" s="5">
        <v>0</v>
      </c>
      <c r="D21" s="5">
        <v>0</v>
      </c>
      <c r="E21" s="5">
        <v>0</v>
      </c>
      <c r="F21" s="5">
        <v>0</v>
      </c>
      <c r="G21" s="5">
        <v>0</v>
      </c>
      <c r="H21" s="5">
        <v>0</v>
      </c>
      <c r="I21" s="5">
        <v>0</v>
      </c>
      <c r="J21" s="5">
        <v>0</v>
      </c>
      <c r="K21" s="5">
        <v>0</v>
      </c>
      <c r="L21" s="5">
        <v>0</v>
      </c>
      <c r="M21" s="5">
        <v>0</v>
      </c>
      <c r="N21" s="5">
        <v>0</v>
      </c>
      <c r="O21" s="5">
        <v>0</v>
      </c>
      <c r="P21" s="5">
        <v>0</v>
      </c>
      <c r="Q21" s="5" t="str">
        <v>[leaching/ runoff]</v>
      </c>
      <c r="R21" s="5">
        <v>0</v>
      </c>
      <c r="S21" s="5">
        <v>0</v>
      </c>
      <c r="T21" s="5" t="str">
        <v>Reference</v>
      </c>
      <c r="U21" s="18">
        <v>0</v>
      </c>
    </row>
    <row r="22" spans="1:51" x14ac:dyDescent="0.25">
      <c r="A22" s="91">
        <v>21</v>
      </c>
      <c r="B22" s="21" t="str">
        <v>Gylle med flydelag el. lign.</v>
      </c>
      <c r="C22" s="5">
        <v>0</v>
      </c>
      <c r="D22" s="5">
        <v>0.5</v>
      </c>
      <c r="E22" s="5">
        <v>0</v>
      </c>
      <c r="F22" s="5" t="str">
        <v>IPCC, 2019 - TABLE 10.21</v>
      </c>
      <c r="G22" s="5">
        <v>3.4</v>
      </c>
      <c r="H22" s="5">
        <v>2</v>
      </c>
      <c r="I22" s="5" t="str">
        <v>Hansen et al. 2008</v>
      </c>
      <c r="J22" s="5">
        <v>0</v>
      </c>
      <c r="K22" s="5">
        <v>0</v>
      </c>
      <c r="L22" s="5">
        <v>0</v>
      </c>
      <c r="M22" s="5">
        <v>0</v>
      </c>
      <c r="N22" s="5">
        <v>0</v>
      </c>
      <c r="O22" s="5">
        <v>0</v>
      </c>
      <c r="P22" s="5">
        <v>0</v>
      </c>
      <c r="Q22" s="5" t="str">
        <v>EF5</v>
      </c>
      <c r="R22" s="5">
        <v>1.0999999999999999E-2</v>
      </c>
      <c r="S22" s="5" t="str">
        <v>kg N2O–N (kg N leaching/runoff)-1</v>
      </c>
      <c r="T22" s="5" t="str">
        <v>IPCC, 2019 - TABLE 11.3</v>
      </c>
      <c r="U22" s="18">
        <v>0</v>
      </c>
    </row>
    <row r="23" spans="1:51" x14ac:dyDescent="0.25">
      <c r="A23" s="91">
        <v>22</v>
      </c>
      <c r="B23" s="21" t="str">
        <v>Dybstrøelse med overdækning</v>
      </c>
      <c r="C23" s="5">
        <v>0</v>
      </c>
      <c r="D23" s="5">
        <v>0</v>
      </c>
      <c r="E23" s="5">
        <v>1</v>
      </c>
      <c r="F23" s="5" t="str">
        <v xml:space="preserve">IPCC, 2019 - TABLE 10.21 </v>
      </c>
      <c r="G23" s="5">
        <v>0</v>
      </c>
      <c r="H23" s="5">
        <v>3</v>
      </c>
      <c r="I23" s="5" t="str">
        <v>Hansen et al. 2008</v>
      </c>
      <c r="J23" s="5">
        <v>0</v>
      </c>
      <c r="K23" s="5">
        <v>0</v>
      </c>
      <c r="L23" s="5">
        <v>0</v>
      </c>
      <c r="M23" s="5">
        <v>0</v>
      </c>
      <c r="N23" s="5">
        <v>0</v>
      </c>
      <c r="O23" s="5">
        <v>0</v>
      </c>
      <c r="P23" s="5">
        <v>0</v>
      </c>
      <c r="Q23" s="5" t="str">
        <v>FracLEACH</v>
      </c>
      <c r="R23" s="5">
        <v>0.24</v>
      </c>
      <c r="S23" s="5" t="str">
        <v>kg N losses by leaching/runoff</v>
      </c>
      <c r="T23" s="5" t="str">
        <v>IPCC, 2019 - TABLE 11.3</v>
      </c>
      <c r="U23" s="18">
        <v>0</v>
      </c>
    </row>
    <row r="24" spans="1:51" x14ac:dyDescent="0.25">
      <c r="A24" s="91">
        <v>23</v>
      </c>
      <c r="B24" s="21">
        <v>0</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18">
        <v>0</v>
      </c>
    </row>
    <row r="25" spans="1:51" x14ac:dyDescent="0.25">
      <c r="A25" s="91">
        <v>24</v>
      </c>
      <c r="B25" s="21" t="str">
        <v>Virkemidler</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18">
        <v>0</v>
      </c>
    </row>
    <row r="26" spans="1:51" x14ac:dyDescent="0.25">
      <c r="A26" s="91">
        <v>25</v>
      </c>
      <c r="B26" s="21" t="str">
        <v>Afgasset gylle med flydelag el. lign.</v>
      </c>
      <c r="C26" s="5">
        <v>0</v>
      </c>
      <c r="D26" s="5">
        <v>0.5</v>
      </c>
      <c r="E26" s="5" t="str">
        <v>IPCC, 2006 modified by Martin Øvli*</v>
      </c>
      <c r="F26" s="5">
        <v>0</v>
      </c>
      <c r="G26" s="5">
        <v>0.5</v>
      </c>
      <c r="H26" s="5">
        <v>0</v>
      </c>
      <c r="I26" s="5" t="str">
        <v>Hansen et al., 2008</v>
      </c>
      <c r="J26" s="5">
        <v>0</v>
      </c>
      <c r="K26" s="5">
        <v>0</v>
      </c>
      <c r="L26" s="5">
        <v>0</v>
      </c>
      <c r="M26" s="5">
        <v>0</v>
      </c>
      <c r="N26" s="5">
        <v>0</v>
      </c>
      <c r="O26" s="5">
        <v>0</v>
      </c>
      <c r="P26" s="5">
        <v>0</v>
      </c>
      <c r="Q26" s="5">
        <v>0</v>
      </c>
      <c r="R26" s="5">
        <v>0</v>
      </c>
      <c r="S26" s="5">
        <v>0</v>
      </c>
      <c r="T26" s="5">
        <v>0</v>
      </c>
      <c r="U26" s="18">
        <v>0</v>
      </c>
    </row>
    <row r="27" spans="1:51" x14ac:dyDescent="0.25">
      <c r="A27" s="91">
        <v>26</v>
      </c>
      <c r="B27" s="21" t="str">
        <v>Forsuring</v>
      </c>
      <c r="C27" s="5">
        <v>0</v>
      </c>
      <c r="D27" s="5">
        <v>0</v>
      </c>
      <c r="E27" s="5">
        <v>0</v>
      </c>
      <c r="F27" s="5">
        <v>0</v>
      </c>
      <c r="G27" s="5">
        <v>-0.5</v>
      </c>
      <c r="H27" s="5">
        <v>0</v>
      </c>
      <c r="I27" s="5" t="str">
        <v>Miljøstyrelsen, besøg 26. nov 2020 - https://mst.dk/erhverv/landbrug/miljoeteknologi-og-bat/teknologilisten/gaa-til-teknologilisten/staldindretning/ - For lagret angives 1 % som fordampning, hvilket er 50 % lavere end gylle med flydelag, som står til at have 2 % ammoniakfordampning af total-N</v>
      </c>
      <c r="J27" s="5">
        <v>0</v>
      </c>
      <c r="K27" s="5">
        <v>0</v>
      </c>
      <c r="L27" s="5">
        <v>0</v>
      </c>
      <c r="M27" s="5">
        <v>0</v>
      </c>
      <c r="N27" s="5">
        <v>0</v>
      </c>
      <c r="O27" s="5">
        <v>0</v>
      </c>
      <c r="P27" s="5">
        <v>0</v>
      </c>
      <c r="Q27" s="5">
        <v>0</v>
      </c>
      <c r="R27" s="5">
        <v>0</v>
      </c>
      <c r="S27" s="5">
        <v>0</v>
      </c>
      <c r="T27" s="5">
        <v>0</v>
      </c>
      <c r="U27" s="18">
        <v>0</v>
      </c>
    </row>
    <row r="28" spans="1:51" x14ac:dyDescent="0.25">
      <c r="A28" s="91">
        <v>27</v>
      </c>
      <c r="B28" s="21">
        <v>0</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18">
        <v>0</v>
      </c>
    </row>
    <row r="29" spans="1:51" x14ac:dyDescent="0.25">
      <c r="A29" s="91">
        <v>28</v>
      </c>
      <c r="B29" s="21">
        <v>0</v>
      </c>
      <c r="C29" s="5">
        <v>0</v>
      </c>
      <c r="D29" s="5">
        <v>0</v>
      </c>
      <c r="E29" s="5" t="str">
        <v>* I IPCC 2006 står der at der ikke er nogen lattergas emission fra afgasset gylle. Det samme er gældende når det er ubehandlet gylle. Tilføjes der flydelag til ubehandlet gylle, så stiger lattergas EF til 0,5%. Det må derfor antages afgasset gylle med flydelag også har en EF på 0,5%.</v>
      </c>
      <c r="F29" s="5">
        <v>0</v>
      </c>
      <c r="G29" s="5">
        <v>0</v>
      </c>
      <c r="H29" s="5">
        <v>0</v>
      </c>
      <c r="I29" s="5">
        <v>0</v>
      </c>
      <c r="J29" s="5">
        <v>0</v>
      </c>
      <c r="K29" s="5">
        <v>0</v>
      </c>
      <c r="L29" s="5">
        <v>0</v>
      </c>
      <c r="M29" s="5">
        <v>0</v>
      </c>
      <c r="N29" s="5">
        <v>0</v>
      </c>
      <c r="O29" s="5">
        <v>0</v>
      </c>
      <c r="P29" s="5">
        <v>0</v>
      </c>
      <c r="Q29" s="5">
        <v>0</v>
      </c>
      <c r="R29" s="5">
        <v>0</v>
      </c>
      <c r="S29" s="5">
        <v>0</v>
      </c>
      <c r="T29" s="5">
        <v>0</v>
      </c>
      <c r="U29" s="18">
        <v>0</v>
      </c>
    </row>
    <row r="30" spans="1:51" x14ac:dyDescent="0.25">
      <c r="A30" s="91">
        <v>29</v>
      </c>
      <c r="B30" s="29">
        <v>0</v>
      </c>
      <c r="C30" s="22">
        <v>0</v>
      </c>
      <c r="D30" s="22">
        <v>0</v>
      </c>
      <c r="E30" s="22">
        <v>0</v>
      </c>
      <c r="F30" s="22">
        <v>0</v>
      </c>
      <c r="G30" s="22">
        <v>0</v>
      </c>
      <c r="H30" s="22">
        <v>0</v>
      </c>
      <c r="I30" s="22">
        <v>0</v>
      </c>
      <c r="J30" s="22">
        <v>0</v>
      </c>
      <c r="K30" s="22">
        <v>0</v>
      </c>
      <c r="L30" s="22">
        <v>0</v>
      </c>
      <c r="M30" s="22">
        <v>0</v>
      </c>
      <c r="N30" s="22">
        <v>0</v>
      </c>
      <c r="O30" s="22">
        <v>0</v>
      </c>
      <c r="P30" s="22">
        <v>0</v>
      </c>
      <c r="Q30" s="22">
        <v>0</v>
      </c>
      <c r="R30" s="22">
        <v>0</v>
      </c>
      <c r="S30" s="22">
        <v>0</v>
      </c>
      <c r="T30" s="22">
        <v>0</v>
      </c>
      <c r="U30" s="23">
        <v>0</v>
      </c>
    </row>
    <row r="32" spans="1:51" x14ac:dyDescent="0.25">
      <c r="S32" s="513"/>
      <c r="T32" s="513"/>
      <c r="U32" s="513"/>
      <c r="V32" s="513"/>
      <c r="W32" s="513"/>
      <c r="X32" s="513"/>
      <c r="Y32" s="513"/>
      <c r="Z32" s="513"/>
      <c r="AA32" s="513"/>
      <c r="AB32" s="513"/>
      <c r="AC32" s="513"/>
      <c r="AD32" s="513"/>
      <c r="AE32" s="513"/>
      <c r="AF32" s="513"/>
      <c r="AG32" s="513"/>
      <c r="AT32" s="195"/>
      <c r="AU32" s="195"/>
      <c r="AY32" s="513"/>
    </row>
    <row r="33" spans="21:52" x14ac:dyDescent="0.25">
      <c r="Z33" s="5"/>
      <c r="AA33" s="5"/>
      <c r="AB33" s="5"/>
      <c r="AC33" s="5"/>
      <c r="AD33" s="204"/>
      <c r="AE33" s="5"/>
      <c r="AF33" s="320" t="s">
        <v>203</v>
      </c>
      <c r="AG33" s="256"/>
      <c r="AT33" s="195"/>
      <c r="AU33" s="195"/>
    </row>
    <row r="34" spans="21:52" x14ac:dyDescent="0.25">
      <c r="U34" s="275"/>
      <c r="V34" s="670" t="s">
        <v>273</v>
      </c>
      <c r="AF34" s="320" t="s">
        <v>203</v>
      </c>
      <c r="AG34" s="476"/>
      <c r="AH34" s="670" t="s">
        <v>459</v>
      </c>
      <c r="AI34"/>
      <c r="AJ34"/>
      <c r="AK34"/>
      <c r="AL34"/>
      <c r="AM34"/>
      <c r="AN34"/>
      <c r="AO34"/>
      <c r="AP34" s="202"/>
      <c r="AQ34"/>
      <c r="AR34" s="474" t="s">
        <v>203</v>
      </c>
      <c r="AS34" s="195"/>
      <c r="AT34" s="195"/>
      <c r="AU34" s="195"/>
    </row>
    <row r="35" spans="21:52" x14ac:dyDescent="0.25">
      <c r="U35" s="275"/>
      <c r="W35" s="670" t="s">
        <v>64</v>
      </c>
      <c r="X35">
        <f>INDEX($Q$2:$S$3, 2,MATCH(W35,$Q$2:$S$2,0))</f>
        <v>0.24</v>
      </c>
      <c r="Y35" t="s">
        <v>63</v>
      </c>
      <c r="Z35" s="103"/>
      <c r="AA35" s="191"/>
      <c r="AB35" s="191"/>
      <c r="AC35" s="191"/>
      <c r="AD35" s="237"/>
      <c r="AE35" s="238"/>
      <c r="AF35" s="320" t="s">
        <v>203</v>
      </c>
      <c r="AG35" s="476"/>
      <c r="AH35"/>
      <c r="AI35" s="670" t="s">
        <v>64</v>
      </c>
      <c r="AJ35">
        <f>INDEX($Q$2:$S$3, 2,MATCH(AI35,$Q$2:$S$2,0))</f>
        <v>0.24</v>
      </c>
      <c r="AK35" t="s">
        <v>63</v>
      </c>
      <c r="AL35" s="103"/>
      <c r="AM35" s="191"/>
      <c r="AN35" s="191"/>
      <c r="AO35" s="191"/>
      <c r="AP35" s="237"/>
      <c r="AQ35" s="238"/>
      <c r="AR35" s="474" t="s">
        <v>203</v>
      </c>
      <c r="AS35" s="195"/>
      <c r="AT35" s="195"/>
      <c r="AU35" s="268" t="s">
        <v>297</v>
      </c>
      <c r="AV35" s="269"/>
      <c r="AW35" s="269"/>
      <c r="AX35" s="269"/>
      <c r="AY35" s="477"/>
      <c r="AZ35" s="269"/>
    </row>
    <row r="36" spans="21:52" x14ac:dyDescent="0.25">
      <c r="U36" s="275"/>
      <c r="W36" s="108" t="s">
        <v>93</v>
      </c>
      <c r="X36" s="109"/>
      <c r="Z36" s="239" t="s">
        <v>231</v>
      </c>
      <c r="AA36" s="194"/>
      <c r="AB36" s="194"/>
      <c r="AC36" s="194"/>
      <c r="AD36" s="240"/>
      <c r="AE36" s="241"/>
      <c r="AF36" s="320" t="s">
        <v>203</v>
      </c>
      <c r="AG36" s="476"/>
      <c r="AH36"/>
      <c r="AI36" s="108" t="s">
        <v>93</v>
      </c>
      <c r="AJ36" s="109"/>
      <c r="AK36"/>
      <c r="AL36" s="239" t="s">
        <v>231</v>
      </c>
      <c r="AM36" s="194"/>
      <c r="AN36" s="194"/>
      <c r="AO36" s="194"/>
      <c r="AP36" s="240"/>
      <c r="AQ36" s="241"/>
      <c r="AR36" s="474" t="s">
        <v>203</v>
      </c>
      <c r="AS36" s="195"/>
      <c r="AT36" s="195"/>
      <c r="AU36" s="590"/>
      <c r="AV36" s="718" t="s">
        <v>296</v>
      </c>
      <c r="AW36" s="719"/>
      <c r="AX36" s="270"/>
      <c r="AY36" s="478" t="s">
        <v>298</v>
      </c>
      <c r="AZ36" s="269"/>
    </row>
    <row r="37" spans="21:52" x14ac:dyDescent="0.25">
      <c r="U37" s="275"/>
      <c r="W37" s="110" t="s">
        <v>81</v>
      </c>
      <c r="X37" s="665">
        <v>150</v>
      </c>
      <c r="Z37" s="126"/>
      <c r="AA37" s="192"/>
      <c r="AB37" s="192"/>
      <c r="AC37" s="192"/>
      <c r="AD37" s="242"/>
      <c r="AE37" s="243"/>
      <c r="AF37" s="320" t="s">
        <v>203</v>
      </c>
      <c r="AG37" s="476"/>
      <c r="AH37"/>
      <c r="AI37" s="110" t="s">
        <v>81</v>
      </c>
      <c r="AJ37" s="665">
        <v>150</v>
      </c>
      <c r="AK37"/>
      <c r="AL37" s="126"/>
      <c r="AM37" s="192"/>
      <c r="AN37" s="192"/>
      <c r="AO37" s="192"/>
      <c r="AP37" s="242"/>
      <c r="AQ37" s="243"/>
      <c r="AR37" s="474" t="s">
        <v>203</v>
      </c>
      <c r="AS37" s="195"/>
      <c r="AT37" s="195"/>
      <c r="AU37" s="328"/>
      <c r="AV37" s="328" t="s">
        <v>238</v>
      </c>
      <c r="AW37" s="327" t="s">
        <v>381</v>
      </c>
      <c r="AX37" s="336" t="s">
        <v>382</v>
      </c>
      <c r="AY37" s="479"/>
      <c r="AZ37" s="269"/>
    </row>
    <row r="38" spans="21:52" x14ac:dyDescent="0.25">
      <c r="U38" s="275"/>
      <c r="W38" s="228" t="s">
        <v>82</v>
      </c>
      <c r="X38" s="666">
        <v>7</v>
      </c>
      <c r="Z38" s="127"/>
      <c r="AA38" s="54" t="s">
        <v>5</v>
      </c>
      <c r="AB38" s="187" t="s">
        <v>6</v>
      </c>
      <c r="AC38" s="128"/>
      <c r="AD38" s="203"/>
      <c r="AE38" s="124"/>
      <c r="AF38" s="320" t="s">
        <v>203</v>
      </c>
      <c r="AG38" s="476"/>
      <c r="AH38"/>
      <c r="AI38" s="228" t="s">
        <v>82</v>
      </c>
      <c r="AJ38" s="666">
        <v>7</v>
      </c>
      <c r="AK38"/>
      <c r="AL38" s="127"/>
      <c r="AM38" s="54" t="s">
        <v>5</v>
      </c>
      <c r="AN38" s="187" t="s">
        <v>6</v>
      </c>
      <c r="AO38" s="128"/>
      <c r="AP38" s="203"/>
      <c r="AQ38" s="124"/>
      <c r="AR38" s="474" t="s">
        <v>203</v>
      </c>
      <c r="AS38" s="195"/>
      <c r="AT38" s="195"/>
      <c r="AU38" s="591"/>
      <c r="AV38" s="424" t="s">
        <v>558</v>
      </c>
      <c r="AW38" s="271"/>
      <c r="AX38" s="271"/>
      <c r="AY38" s="454" t="s">
        <v>560</v>
      </c>
      <c r="AZ38" s="269"/>
    </row>
    <row r="39" spans="21:52" x14ac:dyDescent="0.25">
      <c r="U39" s="275"/>
      <c r="Z39" s="96" t="s">
        <v>145</v>
      </c>
      <c r="AA39" s="183">
        <f>INDEX(Normtal!$Q$3:$AC$551,MATCH('CH4_Gylle_Stald&amp;Lager'!V34,Normtal!$Q$3:$Q$551,0),9)*(X37/365)*(X38/24)</f>
        <v>209.42465753424656</v>
      </c>
      <c r="AB39" s="78"/>
      <c r="AC39" s="44"/>
      <c r="AD39" s="204" t="s">
        <v>147</v>
      </c>
      <c r="AE39" s="65"/>
      <c r="AF39" s="320" t="s">
        <v>203</v>
      </c>
      <c r="AG39" s="476"/>
      <c r="AH39"/>
      <c r="AI39"/>
      <c r="AJ39"/>
      <c r="AK39"/>
      <c r="AL39" s="96" t="s">
        <v>145</v>
      </c>
      <c r="AM39" s="183">
        <f>INDEX(Normtal!$Q$3:$AC$551,MATCH('CH4_Gylle_Stald&amp;Lager'!AH34,Normtal!$Q$3:$Q$551,0),9)*(AJ37/365)*(AJ38/24)</f>
        <v>170.30136986301372</v>
      </c>
      <c r="AN39" s="78"/>
      <c r="AO39" s="44"/>
      <c r="AP39" s="204" t="s">
        <v>147</v>
      </c>
      <c r="AQ39" s="65"/>
      <c r="AR39" s="474" t="s">
        <v>203</v>
      </c>
      <c r="AS39" s="195"/>
      <c r="AT39" s="195"/>
      <c r="AU39" s="671" t="s">
        <v>641</v>
      </c>
      <c r="AV39" s="337">
        <f>AA106</f>
        <v>0</v>
      </c>
      <c r="AW39" s="270">
        <f>AB106</f>
        <v>203.20258416107868</v>
      </c>
      <c r="AX39" s="270">
        <f>AC106</f>
        <v>203.20258416107868</v>
      </c>
      <c r="AY39" s="478">
        <f>SUM(AV39:AX39)</f>
        <v>406.40516832215735</v>
      </c>
      <c r="AZ39" s="269"/>
    </row>
    <row r="40" spans="21:52" x14ac:dyDescent="0.25">
      <c r="U40" s="275"/>
      <c r="V40" s="45"/>
      <c r="W40" s="229" t="s">
        <v>221</v>
      </c>
      <c r="X40" s="230"/>
      <c r="Z40" s="96"/>
      <c r="AA40" s="667" t="s">
        <v>594</v>
      </c>
      <c r="AB40" s="220" t="s">
        <v>210</v>
      </c>
      <c r="AC40" s="5"/>
      <c r="AD40" s="226"/>
      <c r="AE40" s="65"/>
      <c r="AF40" s="320" t="s">
        <v>203</v>
      </c>
      <c r="AG40" s="476"/>
      <c r="AH40" s="45"/>
      <c r="AI40" s="229" t="s">
        <v>221</v>
      </c>
      <c r="AJ40" s="230"/>
      <c r="AK40"/>
      <c r="AL40" s="96"/>
      <c r="AM40" s="667" t="s">
        <v>593</v>
      </c>
      <c r="AN40" s="220" t="s">
        <v>210</v>
      </c>
      <c r="AO40" s="5"/>
      <c r="AP40" s="226"/>
      <c r="AQ40" s="65"/>
      <c r="AR40" s="474" t="s">
        <v>203</v>
      </c>
      <c r="AS40" s="195"/>
      <c r="AT40" s="195"/>
      <c r="AU40" s="671" t="s">
        <v>632</v>
      </c>
      <c r="AV40" s="5"/>
      <c r="AW40" s="5"/>
      <c r="AX40" s="5"/>
      <c r="AY40" s="330"/>
      <c r="AZ40" s="269"/>
    </row>
    <row r="41" spans="21:52" x14ac:dyDescent="0.25">
      <c r="U41" s="275"/>
      <c r="V41" s="5"/>
      <c r="W41" s="231" t="s">
        <v>224</v>
      </c>
      <c r="X41" s="669">
        <v>0.68</v>
      </c>
      <c r="Z41" s="97" t="s">
        <v>115</v>
      </c>
      <c r="AA41" s="183" t="e">
        <f>INDEX(Normtal!$Q$3:$AC$551,MATCH('CH4_Gylle_Stald&amp;Lager'!AA40,Normtal!$AA$3:$AA$551,0),9)*$X42/365</f>
        <v>#N/A</v>
      </c>
      <c r="AB41" s="183" t="e">
        <f>INDEX(Normtal!$Q$3:$AC$551,MATCH('CH4_Gylle_Stald&amp;Lager'!AB40,Normtal!$AA$3:$AA$551,0),9)*$X42/365</f>
        <v>#N/A</v>
      </c>
      <c r="AC41" s="44"/>
      <c r="AD41" s="204"/>
      <c r="AE41" s="65"/>
      <c r="AF41" s="320" t="s">
        <v>203</v>
      </c>
      <c r="AG41" s="476"/>
      <c r="AH41" s="5"/>
      <c r="AI41" s="231" t="s">
        <v>224</v>
      </c>
      <c r="AJ41" s="669">
        <v>0.67</v>
      </c>
      <c r="AK41"/>
      <c r="AL41" s="97" t="s">
        <v>115</v>
      </c>
      <c r="AM41" s="183" t="e">
        <f>INDEX(Normtal!$Q$3:$AC$551,MATCH('CH4_Gylle_Stald&amp;Lager'!AM40,Normtal!$AA$3:$AA$551,0),9)*$AJ42/365</f>
        <v>#N/A</v>
      </c>
      <c r="AN41" s="183" t="e">
        <f>INDEX(Normtal!$Q$3:$AC$551,MATCH('CH4_Gylle_Stald&amp;Lager'!AN40,Normtal!$AA$3:$AA$551,0),9)*$AJ42/365</f>
        <v>#N/A</v>
      </c>
      <c r="AO41" s="44"/>
      <c r="AP41" s="204"/>
      <c r="AQ41" s="65"/>
      <c r="AR41" s="474" t="s">
        <v>203</v>
      </c>
      <c r="AS41" s="195"/>
      <c r="AT41" s="195"/>
      <c r="AU41" s="672" t="s">
        <v>643</v>
      </c>
      <c r="AV41" s="338">
        <f>AA143</f>
        <v>0</v>
      </c>
      <c r="AW41" s="321">
        <f>AB143</f>
        <v>211.75728994765086</v>
      </c>
      <c r="AX41" s="321">
        <f>AC143</f>
        <v>211.75728994765086</v>
      </c>
      <c r="AY41" s="454">
        <f>SUM(AV41:AX41)</f>
        <v>423.51457989530172</v>
      </c>
      <c r="AZ41" s="269"/>
    </row>
    <row r="42" spans="21:52" x14ac:dyDescent="0.25">
      <c r="U42" s="275"/>
      <c r="W42" s="233" t="s">
        <v>223</v>
      </c>
      <c r="X42" s="583">
        <f>(365-X37*X38/24)*X41</f>
        <v>218.45000000000002</v>
      </c>
      <c r="Z42" s="97" t="s">
        <v>116</v>
      </c>
      <c r="AA42" s="183" t="e">
        <f>INDEX(Normtal!$Q$3:$AC$551,MATCH('CH4_Gylle_Stald&amp;Lager'!AA40,Normtal!$AA$3:$AA$551,0),7)*$X42/365</f>
        <v>#N/A</v>
      </c>
      <c r="AB42" s="183" t="e">
        <f>INDEX(Normtal!$Q$3:$AC$551,MATCH('CH4_Gylle_Stald&amp;Lager'!AB40,Normtal!$AA$3:$AA$551,0),7)*$X42/365</f>
        <v>#N/A</v>
      </c>
      <c r="AC42" s="44"/>
      <c r="AD42" s="204"/>
      <c r="AE42" s="65"/>
      <c r="AF42" s="320" t="s">
        <v>203</v>
      </c>
      <c r="AG42" s="476"/>
      <c r="AH42"/>
      <c r="AI42" s="233" t="s">
        <v>223</v>
      </c>
      <c r="AJ42" s="583">
        <f>(365-AJ37*AJ38/24)*AJ41</f>
        <v>215.23750000000001</v>
      </c>
      <c r="AK42"/>
      <c r="AL42" s="97" t="s">
        <v>116</v>
      </c>
      <c r="AM42" s="183" t="e">
        <f>INDEX(Normtal!$Q$3:$AC$551,MATCH('CH4_Gylle_Stald&amp;Lager'!AM40,Normtal!$AA$3:$AA$551,0),7)*$AJ42/365</f>
        <v>#N/A</v>
      </c>
      <c r="AN42" s="183" t="e">
        <f>INDEX(Normtal!$Q$3:$AC$551,MATCH('CH4_Gylle_Stald&amp;Lager'!AN40,Normtal!$AA$3:$AA$551,0),7)*$AJ42/365</f>
        <v>#N/A</v>
      </c>
      <c r="AO42" s="44"/>
      <c r="AP42" s="204"/>
      <c r="AQ42" s="65"/>
      <c r="AR42" s="474" t="s">
        <v>203</v>
      </c>
      <c r="AS42" s="195"/>
      <c r="AT42" s="195"/>
      <c r="AU42" s="673" t="s">
        <v>644</v>
      </c>
      <c r="AV42" s="339">
        <f>AA180</f>
        <v>2.2226748468293334</v>
      </c>
      <c r="AW42" s="272">
        <f>AB180</f>
        <v>203.51944808269545</v>
      </c>
      <c r="AX42" s="272">
        <f>AC180</f>
        <v>203.51944808269545</v>
      </c>
      <c r="AY42" s="480">
        <f>SUM(AV42:AX42)+$AY$41</f>
        <v>832.77615090752192</v>
      </c>
      <c r="AZ42" s="269"/>
    </row>
    <row r="43" spans="21:52" x14ac:dyDescent="0.25">
      <c r="U43" s="275"/>
      <c r="W43" s="229" t="s">
        <v>222</v>
      </c>
      <c r="X43" s="230"/>
      <c r="Z43" s="225"/>
      <c r="AA43" s="667" t="s">
        <v>269</v>
      </c>
      <c r="AB43" s="667" t="s">
        <v>270</v>
      </c>
      <c r="AC43" s="5"/>
      <c r="AD43" s="227"/>
      <c r="AE43" s="65"/>
      <c r="AF43" s="320" t="s">
        <v>203</v>
      </c>
      <c r="AG43" s="476"/>
      <c r="AH43"/>
      <c r="AI43" s="229" t="s">
        <v>222</v>
      </c>
      <c r="AJ43" s="230"/>
      <c r="AK43"/>
      <c r="AL43" s="225"/>
      <c r="AM43" s="667" t="s">
        <v>595</v>
      </c>
      <c r="AN43" s="667" t="s">
        <v>596</v>
      </c>
      <c r="AO43" s="5"/>
      <c r="AP43" s="227"/>
      <c r="AQ43" s="65"/>
      <c r="AR43" s="474" t="s">
        <v>203</v>
      </c>
      <c r="AS43" s="195"/>
      <c r="AT43" s="195"/>
      <c r="AU43" s="673" t="s">
        <v>645</v>
      </c>
      <c r="AV43" s="339">
        <f>AA217</f>
        <v>2.727453503360231</v>
      </c>
      <c r="AW43" s="272">
        <f>AB217</f>
        <v>211.85350002827118</v>
      </c>
      <c r="AX43" s="272">
        <f>AC217</f>
        <v>211.85350002827118</v>
      </c>
      <c r="AY43" s="480">
        <f>SUM(AV43:AX43)+$AY$41</f>
        <v>849.94903345520436</v>
      </c>
      <c r="AZ43" s="269"/>
    </row>
    <row r="44" spans="21:52" x14ac:dyDescent="0.25">
      <c r="U44" s="275"/>
      <c r="W44" s="231" t="s">
        <v>224</v>
      </c>
      <c r="X44" s="232">
        <f>1-X41</f>
        <v>0.31999999999999995</v>
      </c>
      <c r="Z44" s="97" t="s">
        <v>115</v>
      </c>
      <c r="AA44" s="183">
        <f>INDEX(Normtal!$Q$3:$AC$551,MATCH('CH4_Gylle_Stald&amp;Lager'!AA43,Normtal!$AA$3:$AA$551,0),9)*$X45/365</f>
        <v>196.83524383561644</v>
      </c>
      <c r="AB44" s="183">
        <f>INDEX(Normtal!$Q$3:$AC$551,MATCH('CH4_Gylle_Stald&amp;Lager'!AB43,Normtal!$AA$3:$AA$551,0),9)*$X45/365</f>
        <v>295.2528657534246</v>
      </c>
      <c r="AC44" s="44"/>
      <c r="AD44" s="204" t="s">
        <v>148</v>
      </c>
      <c r="AE44" s="65"/>
      <c r="AF44" s="320" t="s">
        <v>203</v>
      </c>
      <c r="AG44" s="476"/>
      <c r="AH44"/>
      <c r="AI44" s="231" t="s">
        <v>224</v>
      </c>
      <c r="AJ44" s="232">
        <f>1-AJ41</f>
        <v>0.32999999999999996</v>
      </c>
      <c r="AK44"/>
      <c r="AL44" s="97" t="s">
        <v>115</v>
      </c>
      <c r="AM44" s="183">
        <f>INDEX(Normtal!$Q$3:$AC$551,MATCH('CH4_Gylle_Stald&amp;Lager'!AM43,Normtal!$AA$3:$AA$551,0),9)*$AJ45/365</f>
        <v>165.06581917808219</v>
      </c>
      <c r="AN44" s="183">
        <f>INDEX(Normtal!$Q$3:$AC$551,MATCH('CH4_Gylle_Stald&amp;Lager'!AN43,Normtal!$AA$3:$AA$551,0),9)*$AJ45/365</f>
        <v>247.5987287671233</v>
      </c>
      <c r="AO44" s="44"/>
      <c r="AP44" s="204" t="s">
        <v>148</v>
      </c>
      <c r="AQ44" s="65"/>
      <c r="AR44" s="474" t="s">
        <v>203</v>
      </c>
      <c r="AS44" s="195"/>
      <c r="AT44" s="195"/>
      <c r="AU44" s="673" t="s">
        <v>646</v>
      </c>
      <c r="AV44" s="339">
        <f>AA254</f>
        <v>2.727453503360231</v>
      </c>
      <c r="AW44" s="272">
        <f>AB254</f>
        <v>213.57319673300427</v>
      </c>
      <c r="AX44" s="272">
        <f>AC254</f>
        <v>213.57319673300427</v>
      </c>
      <c r="AY44" s="480">
        <f>SUM(AV44:AX44)+$AY$41</f>
        <v>853.38842686467046</v>
      </c>
      <c r="AZ44" s="269"/>
    </row>
    <row r="45" spans="21:52" x14ac:dyDescent="0.25">
      <c r="U45" s="275"/>
      <c r="V45" s="5"/>
      <c r="W45" s="233" t="s">
        <v>81</v>
      </c>
      <c r="X45" s="234">
        <f>(365-X37*X38/24)*X44</f>
        <v>102.79999999999998</v>
      </c>
      <c r="Z45" s="97" t="s">
        <v>116</v>
      </c>
      <c r="AA45" s="222">
        <f>INDEX(Normtal!$Q$3:$AC$551,MATCH('CH4_Gylle_Stald&amp;Lager'!AA43,Normtal!$AA$3:$AA$551,0),7)*$X45/365</f>
        <v>0</v>
      </c>
      <c r="AB45" s="222">
        <f>INDEX(Normtal!$Q$3:$AC$551,MATCH('CH4_Gylle_Stald&amp;Lager'!AB43,Normtal!$AA$3:$AA$551,0),7)*$X45/365</f>
        <v>830.10999999999979</v>
      </c>
      <c r="AC45" s="44"/>
      <c r="AD45" s="141"/>
      <c r="AE45" s="65"/>
      <c r="AF45" s="320" t="s">
        <v>203</v>
      </c>
      <c r="AG45" s="476"/>
      <c r="AH45" s="5"/>
      <c r="AI45" s="233" t="s">
        <v>81</v>
      </c>
      <c r="AJ45" s="234">
        <f>(365-AJ37*AJ38/24)*AJ44</f>
        <v>106.01249999999999</v>
      </c>
      <c r="AK45"/>
      <c r="AL45" s="97" t="s">
        <v>116</v>
      </c>
      <c r="AM45" s="222">
        <f>INDEX(Normtal!$Q$3:$AC$551,MATCH('CH4_Gylle_Stald&amp;Lager'!AM43,Normtal!$AA$3:$AA$551,0),7)*$AJ45/365</f>
        <v>0</v>
      </c>
      <c r="AN45" s="222">
        <f>INDEX(Normtal!$Q$3:$AC$551,MATCH('CH4_Gylle_Stald&amp;Lager'!AN43,Normtal!$AA$3:$AA$551,0),7)*$AJ45/365</f>
        <v>684.84074999999996</v>
      </c>
      <c r="AO45" s="44"/>
      <c r="AP45" s="141"/>
      <c r="AQ45" s="65"/>
      <c r="AR45" s="474" t="s">
        <v>203</v>
      </c>
      <c r="AS45" s="195"/>
      <c r="AT45" s="195"/>
      <c r="AU45" s="673" t="s">
        <v>559</v>
      </c>
      <c r="AV45" s="339">
        <f>AA69</f>
        <v>4.4158663390684918</v>
      </c>
      <c r="AW45" s="272">
        <f>AB69</f>
        <v>584.86756809785015</v>
      </c>
      <c r="AX45" s="272">
        <f>AC69</f>
        <v>584.86756809785015</v>
      </c>
      <c r="AY45" s="481">
        <f>SUM(AV45:AX45)</f>
        <v>1174.1510025347688</v>
      </c>
      <c r="AZ45" s="269"/>
    </row>
    <row r="46" spans="21:52" x14ac:dyDescent="0.25">
      <c r="U46" s="275"/>
      <c r="Z46" s="235" t="s">
        <v>225</v>
      </c>
      <c r="AA46" s="90">
        <f>_xlfn.AGGREGATE(9,6,AA39:AB39,AA41:AB41,AA44:AB44)</f>
        <v>701.51276712328763</v>
      </c>
      <c r="AB46" s="267">
        <f>INDEX(Normtal!$Q$3:$AC$551,MATCH('CH4_Gylle_Stald&amp;Lager'!V34,Normtal!$Q$3:$Q$551,0),9)</f>
        <v>1747.2</v>
      </c>
      <c r="AC46" s="44"/>
      <c r="AD46" s="141"/>
      <c r="AE46" s="65"/>
      <c r="AF46" s="320" t="s">
        <v>203</v>
      </c>
      <c r="AG46" s="476"/>
      <c r="AH46"/>
      <c r="AI46"/>
      <c r="AJ46"/>
      <c r="AK46"/>
      <c r="AL46" s="235" t="s">
        <v>225</v>
      </c>
      <c r="AM46" s="90">
        <f>_xlfn.AGGREGATE(9,6,AM39:AN39,AM41:AN41,AM44:AN44)</f>
        <v>582.96591780821927</v>
      </c>
      <c r="AN46" s="267">
        <f>INDEX(Normtal!$Q$3:$AC$551,MATCH('CH4_Gylle_Stald&amp;Lager'!AH34,Normtal!$Q$3:$Q$551,0),9)</f>
        <v>1420.8000000000002</v>
      </c>
      <c r="AO46" s="44"/>
      <c r="AP46" s="141"/>
      <c r="AQ46" s="65"/>
      <c r="AR46" s="474" t="s">
        <v>203</v>
      </c>
      <c r="AS46" s="195"/>
      <c r="AT46" s="195"/>
      <c r="AU46" s="671" t="s">
        <v>669</v>
      </c>
      <c r="AV46" s="337">
        <f>AA291</f>
        <v>0</v>
      </c>
      <c r="AW46" s="270">
        <f>AB291</f>
        <v>158.97225745308202</v>
      </c>
      <c r="AX46" s="270">
        <f>AC291</f>
        <v>158.97225745308202</v>
      </c>
      <c r="AY46" s="478">
        <f>SUM(AV46:AX46)</f>
        <v>317.94451490616404</v>
      </c>
      <c r="AZ46" s="269"/>
    </row>
    <row r="47" spans="21:52" x14ac:dyDescent="0.25">
      <c r="U47" s="275"/>
      <c r="W47" s="257" t="s">
        <v>245</v>
      </c>
      <c r="X47" s="668">
        <v>0.3</v>
      </c>
      <c r="Z47" s="96"/>
      <c r="AA47" s="85"/>
      <c r="AB47" s="93"/>
      <c r="AC47" s="93"/>
      <c r="AD47" s="141"/>
      <c r="AE47" s="65"/>
      <c r="AF47" s="320" t="s">
        <v>203</v>
      </c>
      <c r="AG47" s="476"/>
      <c r="AH47"/>
      <c r="AI47" s="257" t="s">
        <v>245</v>
      </c>
      <c r="AJ47" s="668">
        <v>0.3</v>
      </c>
      <c r="AK47"/>
      <c r="AL47" s="96"/>
      <c r="AM47" s="85"/>
      <c r="AN47" s="93"/>
      <c r="AO47" s="93"/>
      <c r="AP47" s="141"/>
      <c r="AQ47" s="65"/>
      <c r="AR47" s="474" t="s">
        <v>203</v>
      </c>
      <c r="AS47" s="195"/>
      <c r="AT47" s="195"/>
      <c r="AU47" s="671" t="s">
        <v>636</v>
      </c>
      <c r="AV47" s="5"/>
      <c r="AW47" s="5"/>
      <c r="AX47" s="5"/>
      <c r="AY47" s="330"/>
      <c r="AZ47" s="269"/>
    </row>
    <row r="48" spans="21:52" x14ac:dyDescent="0.25">
      <c r="U48" s="275"/>
      <c r="Z48" s="96" t="s">
        <v>84</v>
      </c>
      <c r="AA48" s="85"/>
      <c r="AB48" s="85"/>
      <c r="AC48" s="85"/>
      <c r="AD48" s="141"/>
      <c r="AE48" s="65"/>
      <c r="AF48" s="320" t="s">
        <v>203</v>
      </c>
      <c r="AG48" s="476"/>
      <c r="AH48"/>
      <c r="AI48"/>
      <c r="AJ48"/>
      <c r="AK48"/>
      <c r="AL48" s="96" t="s">
        <v>84</v>
      </c>
      <c r="AM48" s="85"/>
      <c r="AN48" s="85"/>
      <c r="AO48" s="85"/>
      <c r="AP48" s="141"/>
      <c r="AQ48" s="65"/>
      <c r="AR48" s="474" t="s">
        <v>203</v>
      </c>
      <c r="AS48" s="195"/>
      <c r="AT48" s="195"/>
      <c r="AU48" s="672" t="s">
        <v>649</v>
      </c>
      <c r="AV48" s="338">
        <f>AA328</f>
        <v>0</v>
      </c>
      <c r="AW48" s="321">
        <f>AB328</f>
        <v>187.17226361662503</v>
      </c>
      <c r="AX48" s="321">
        <f>AC328</f>
        <v>187.17226361662503</v>
      </c>
      <c r="AY48" s="454">
        <f>SUM(AV48:AX48)</f>
        <v>374.34452723325006</v>
      </c>
      <c r="AZ48" s="269"/>
    </row>
    <row r="49" spans="21:52" x14ac:dyDescent="0.25">
      <c r="U49" s="275"/>
      <c r="W49" s="77" t="s">
        <v>226</v>
      </c>
      <c r="X49" s="236">
        <f>X37*X38/24+X42+X45</f>
        <v>365</v>
      </c>
      <c r="Z49" s="97" t="s">
        <v>62</v>
      </c>
      <c r="AA49" s="85" t="s">
        <v>66</v>
      </c>
      <c r="AB49" s="176">
        <f>(AA39)*0.67*X35*$R$10/100</f>
        <v>0.15827477917808216</v>
      </c>
      <c r="AC49" s="176"/>
      <c r="AD49" s="141" t="s">
        <v>146</v>
      </c>
      <c r="AE49" s="65"/>
      <c r="AF49" s="320" t="s">
        <v>203</v>
      </c>
      <c r="AG49" s="476"/>
      <c r="AH49"/>
      <c r="AI49" s="77" t="s">
        <v>226</v>
      </c>
      <c r="AJ49" s="236">
        <f>AJ37*AJ38/24+AJ42+AJ45</f>
        <v>365</v>
      </c>
      <c r="AK49"/>
      <c r="AL49" s="97" t="s">
        <v>62</v>
      </c>
      <c r="AM49" s="85" t="s">
        <v>66</v>
      </c>
      <c r="AN49" s="176">
        <f>(AM39)*0.67*AJ35*$R$10/100</f>
        <v>0.12870696328767126</v>
      </c>
      <c r="AO49" s="176"/>
      <c r="AP49" s="141" t="s">
        <v>146</v>
      </c>
      <c r="AQ49" s="65"/>
      <c r="AR49" s="474" t="s">
        <v>203</v>
      </c>
      <c r="AS49" s="195"/>
      <c r="AT49" s="195"/>
      <c r="AU49" s="673" t="s">
        <v>650</v>
      </c>
      <c r="AV49" s="339">
        <f>AA365</f>
        <v>0</v>
      </c>
      <c r="AW49" s="272">
        <f>AB365</f>
        <v>285.49593161928129</v>
      </c>
      <c r="AX49" s="272">
        <f>AC365</f>
        <v>285.49593161928129</v>
      </c>
      <c r="AY49" s="480">
        <f>SUM(AV49:AX49)+$AY$48</f>
        <v>945.33639047181259</v>
      </c>
      <c r="AZ49" s="269"/>
    </row>
    <row r="50" spans="21:52" x14ac:dyDescent="0.25">
      <c r="U50" s="275"/>
      <c r="Z50" s="177"/>
      <c r="AA50" s="85"/>
      <c r="AB50" s="85"/>
      <c r="AC50" s="85"/>
      <c r="AD50" s="141"/>
      <c r="AE50" s="65"/>
      <c r="AF50" s="320" t="s">
        <v>203</v>
      </c>
      <c r="AG50" s="476"/>
      <c r="AH50"/>
      <c r="AI50"/>
      <c r="AJ50"/>
      <c r="AK50"/>
      <c r="AL50" s="177"/>
      <c r="AM50" s="85"/>
      <c r="AN50" s="85"/>
      <c r="AO50" s="85"/>
      <c r="AP50" s="141"/>
      <c r="AQ50" s="65"/>
      <c r="AR50" s="474" t="s">
        <v>203</v>
      </c>
      <c r="AS50" s="195"/>
      <c r="AT50" s="195"/>
      <c r="AU50" s="673" t="s">
        <v>651</v>
      </c>
      <c r="AV50" s="339">
        <f>AA402</f>
        <v>0</v>
      </c>
      <c r="AW50" s="272">
        <f>AB402</f>
        <v>312.01015861288442</v>
      </c>
      <c r="AX50" s="272">
        <f>AC402</f>
        <v>312.01015861288442</v>
      </c>
      <c r="AY50" s="480">
        <f>SUM(AV50:AX50)+$AY$48</f>
        <v>998.36484445901897</v>
      </c>
      <c r="AZ50" s="269"/>
    </row>
    <row r="51" spans="21:52" x14ac:dyDescent="0.25">
      <c r="U51" s="275"/>
      <c r="X51" s="244"/>
      <c r="Z51" s="96" t="s">
        <v>188</v>
      </c>
      <c r="AA51" s="85"/>
      <c r="AB51" s="85" t="s">
        <v>180</v>
      </c>
      <c r="AC51" s="85" t="s">
        <v>182</v>
      </c>
      <c r="AD51" s="141"/>
      <c r="AE51" s="65"/>
      <c r="AF51" s="320" t="s">
        <v>203</v>
      </c>
      <c r="AG51" s="476"/>
      <c r="AH51"/>
      <c r="AI51"/>
      <c r="AJ51" s="244"/>
      <c r="AK51"/>
      <c r="AL51" s="96" t="s">
        <v>188</v>
      </c>
      <c r="AM51" s="85"/>
      <c r="AN51" s="85" t="s">
        <v>180</v>
      </c>
      <c r="AO51" s="85" t="s">
        <v>182</v>
      </c>
      <c r="AP51" s="141"/>
      <c r="AQ51" s="65"/>
      <c r="AR51" s="474" t="s">
        <v>203</v>
      </c>
      <c r="AS51" s="195"/>
      <c r="AT51" s="195"/>
      <c r="AU51" s="672"/>
      <c r="AV51" s="277"/>
      <c r="AW51" s="277"/>
      <c r="AX51" s="277"/>
      <c r="AY51" s="482"/>
      <c r="AZ51" s="179"/>
    </row>
    <row r="52" spans="21:52" x14ac:dyDescent="0.25">
      <c r="U52" s="275"/>
      <c r="X52" s="245"/>
      <c r="Z52" s="96" t="s">
        <v>227</v>
      </c>
      <c r="AA52" s="85" t="s">
        <v>66</v>
      </c>
      <c r="AB52" s="176" t="e">
        <f>(AA41+AA42*X42/365)/365*0.67*X35*$R$6/100*$R$17</f>
        <v>#N/A</v>
      </c>
      <c r="AC52" s="176" t="e">
        <f>(AA41+AA42*X42/365)/365*0.67*X35*$R$6/100*(365-$R$17)</f>
        <v>#N/A</v>
      </c>
      <c r="AD52" s="141"/>
      <c r="AE52" s="65"/>
      <c r="AF52" s="320" t="s">
        <v>203</v>
      </c>
      <c r="AG52" s="476"/>
      <c r="AH52"/>
      <c r="AI52"/>
      <c r="AJ52" s="245"/>
      <c r="AK52"/>
      <c r="AL52" s="96" t="s">
        <v>227</v>
      </c>
      <c r="AM52" s="85" t="s">
        <v>66</v>
      </c>
      <c r="AN52" s="176" t="e">
        <f>(AM41+AM42*AJ42/365)/365*0.67*AJ35*$R$6/100*$R$17</f>
        <v>#N/A</v>
      </c>
      <c r="AO52" s="176" t="e">
        <f>(AM41+AM42*AJ42/365)/365*0.67*AJ35*$R$6/100*(365-$R$17)</f>
        <v>#N/A</v>
      </c>
      <c r="AP52" s="141"/>
      <c r="AQ52" s="65"/>
      <c r="AR52" s="474" t="s">
        <v>203</v>
      </c>
      <c r="AS52" s="195"/>
      <c r="AT52" s="195"/>
      <c r="AU52" s="671" t="s">
        <v>621</v>
      </c>
      <c r="AV52" s="337">
        <f>AM106</f>
        <v>0</v>
      </c>
      <c r="AW52" s="337">
        <f>AN106</f>
        <v>159.83937993161339</v>
      </c>
      <c r="AX52" s="337">
        <f>AO106</f>
        <v>159.83937993161339</v>
      </c>
      <c r="AY52" s="478">
        <f>SUM(AV52:AX52)</f>
        <v>319.67875986322679</v>
      </c>
      <c r="AZ52" s="195"/>
    </row>
    <row r="53" spans="21:52" x14ac:dyDescent="0.25">
      <c r="U53" s="275"/>
      <c r="Z53" s="96" t="s">
        <v>228</v>
      </c>
      <c r="AA53" s="85" t="s">
        <v>66</v>
      </c>
      <c r="AB53" s="176">
        <f>(AA44+AA45*X45/365)/365*0.67*X35*$R$6/100*$R$17</f>
        <v>1.9623686469435615</v>
      </c>
      <c r="AC53" s="176">
        <f>(AA44+AA45*X45/365)/365*0.67*X35*$R$6/100*(365-$R$17)</f>
        <v>1.9623686469435615</v>
      </c>
      <c r="AD53" s="141" t="s">
        <v>202</v>
      </c>
      <c r="AE53" s="65"/>
      <c r="AF53" s="320" t="s">
        <v>203</v>
      </c>
      <c r="AG53" s="476"/>
      <c r="AH53"/>
      <c r="AI53"/>
      <c r="AJ53"/>
      <c r="AK53"/>
      <c r="AL53" s="96" t="s">
        <v>228</v>
      </c>
      <c r="AM53" s="85" t="s">
        <v>66</v>
      </c>
      <c r="AN53" s="176">
        <f>(AM44+AM45*AJ45/365)/365*0.67*AJ35*$R$6/100*$R$17</f>
        <v>1.6456401908778084</v>
      </c>
      <c r="AO53" s="176">
        <f>(AM44+AM45*AJ45/365)/365*0.67*AJ35*$R$6/100*(365-$R$17)</f>
        <v>1.6456401908778084</v>
      </c>
      <c r="AP53" s="141" t="s">
        <v>202</v>
      </c>
      <c r="AQ53" s="65"/>
      <c r="AR53" s="474" t="s">
        <v>203</v>
      </c>
      <c r="AS53" s="195"/>
      <c r="AT53" s="195"/>
      <c r="AU53" s="671" t="s">
        <v>637</v>
      </c>
      <c r="AV53" s="5"/>
      <c r="AW53" s="5"/>
      <c r="AX53" s="5"/>
      <c r="AY53" s="330"/>
      <c r="AZ53" s="195"/>
    </row>
    <row r="54" spans="21:52" x14ac:dyDescent="0.25">
      <c r="U54" s="275"/>
      <c r="W54" s="245"/>
      <c r="Z54" s="96" t="s">
        <v>230</v>
      </c>
      <c r="AA54" s="85" t="s">
        <v>66</v>
      </c>
      <c r="AB54" s="176" t="e">
        <f>(AA41+AA42*X42/365)/365*0.67*X35*$R$6/100*$R$17*(1+$R$7)</f>
        <v>#N/A</v>
      </c>
      <c r="AC54" s="176" t="e">
        <f>(AA41+AA42*X42/365)/365*0.67*X35*$R$6/100*(365-$R$17)*(1+$R$7)</f>
        <v>#N/A</v>
      </c>
      <c r="AD54" s="141"/>
      <c r="AE54" s="65"/>
      <c r="AF54" s="320" t="s">
        <v>203</v>
      </c>
      <c r="AG54" s="476"/>
      <c r="AH54"/>
      <c r="AI54" s="245"/>
      <c r="AJ54"/>
      <c r="AK54"/>
      <c r="AL54" s="96" t="s">
        <v>230</v>
      </c>
      <c r="AM54" s="85" t="s">
        <v>66</v>
      </c>
      <c r="AN54" s="176" t="e">
        <f>(AM41+AM42*AJ42/365)/365*0.67*AJ35*$R$6/100*$R$17*(1+$R$7)</f>
        <v>#N/A</v>
      </c>
      <c r="AO54" s="176" t="e">
        <f>(AM41+AM42*AJ42/365)/365*0.67*AJ35*$R$6/100*(365-$R$17)*(1+$R$7)</f>
        <v>#N/A</v>
      </c>
      <c r="AP54" s="141"/>
      <c r="AQ54" s="65"/>
      <c r="AR54" s="474" t="s">
        <v>203</v>
      </c>
      <c r="AS54" s="195"/>
      <c r="AT54" s="195"/>
      <c r="AU54" s="672" t="s">
        <v>622</v>
      </c>
      <c r="AV54" s="338">
        <f>AM143</f>
        <v>0</v>
      </c>
      <c r="AW54" s="321">
        <f>AN143</f>
        <v>166.5604341765</v>
      </c>
      <c r="AX54" s="321">
        <f>AO143</f>
        <v>166.5604341765</v>
      </c>
      <c r="AY54" s="454">
        <f>SUM(AV54:AX54)</f>
        <v>333.12086835299999</v>
      </c>
      <c r="AZ54" s="195"/>
    </row>
    <row r="55" spans="21:52" x14ac:dyDescent="0.25">
      <c r="U55" s="275"/>
      <c r="Z55" s="96" t="s">
        <v>229</v>
      </c>
      <c r="AA55" s="85" t="s">
        <v>66</v>
      </c>
      <c r="AB55" s="176">
        <f>(AA44+AA45*X45/365)/365*0.67*X35*$R$6/100*$R$17*(1+$R$7)</f>
        <v>0.78494745877742467</v>
      </c>
      <c r="AC55" s="176">
        <f>(AA44+AA45*X45/365)/365*0.67*X35*$R$6/100*(365-$R$17)*(1+$R$7)</f>
        <v>0.78494745877742467</v>
      </c>
      <c r="AD55" s="141" t="s">
        <v>202</v>
      </c>
      <c r="AE55" s="65"/>
      <c r="AF55" s="320" t="s">
        <v>203</v>
      </c>
      <c r="AG55" s="476"/>
      <c r="AH55"/>
      <c r="AI55"/>
      <c r="AJ55"/>
      <c r="AK55"/>
      <c r="AL55" s="96" t="s">
        <v>229</v>
      </c>
      <c r="AM55" s="85" t="s">
        <v>66</v>
      </c>
      <c r="AN55" s="176">
        <f>(AM44+AM45*AJ45/365)/365*0.67*AJ35*$R$6/100*$R$17*(1+$R$7)</f>
        <v>0.65825607635112338</v>
      </c>
      <c r="AO55" s="176">
        <f>(AM44+AM45*AJ45/365)/365*0.67*AJ35*$R$6/100*(365-$R$17)*(1+$R$7)</f>
        <v>0.65825607635112338</v>
      </c>
      <c r="AP55" s="141" t="s">
        <v>202</v>
      </c>
      <c r="AQ55" s="65"/>
      <c r="AR55" s="474" t="s">
        <v>203</v>
      </c>
      <c r="AS55" s="195"/>
      <c r="AU55" s="673" t="s">
        <v>619</v>
      </c>
      <c r="AV55" s="339">
        <f>AM180</f>
        <v>1.6711834545958988</v>
      </c>
      <c r="AW55" s="339">
        <f>AN180</f>
        <v>154.3399604026024</v>
      </c>
      <c r="AX55" s="339">
        <f>AO180</f>
        <v>154.3399604026024</v>
      </c>
      <c r="AY55" s="540">
        <f>SUM(AV55:AX55)+$AY$54</f>
        <v>643.47197261280076</v>
      </c>
      <c r="AZ55" s="179"/>
    </row>
    <row r="56" spans="21:52" x14ac:dyDescent="0.25">
      <c r="U56" s="275"/>
      <c r="Z56" s="96" t="s">
        <v>246</v>
      </c>
      <c r="AA56" s="85" t="s">
        <v>66</v>
      </c>
      <c r="AB56" s="258" t="e">
        <f>(AA41+AA42*X42/365)/365*0.67*X35*$R$6/100*$R$17*(1+$R$8*X47)</f>
        <v>#N/A</v>
      </c>
      <c r="AC56" s="258" t="e">
        <f>(AA41+AA42*X42/365)/365*0.67*X35*$R$6/100*(365-$R$17)*(1+$R$8*X47)</f>
        <v>#N/A</v>
      </c>
      <c r="AD56" s="141" t="s">
        <v>202</v>
      </c>
      <c r="AE56" s="65"/>
      <c r="AF56" s="320" t="s">
        <v>203</v>
      </c>
      <c r="AG56" s="476"/>
      <c r="AH56"/>
      <c r="AI56"/>
      <c r="AJ56"/>
      <c r="AK56"/>
      <c r="AL56" s="96" t="s">
        <v>246</v>
      </c>
      <c r="AM56" s="85" t="s">
        <v>66</v>
      </c>
      <c r="AN56" s="258" t="e">
        <f>(AM41+AM42*AJ42/365)/365*0.67*AJ35*$R$6/100*$R$17*(1+$R$8*AJ47)</f>
        <v>#N/A</v>
      </c>
      <c r="AO56" s="258" t="e">
        <f>(AM41+AM42*AJ42/365)/365*0.67*AJ35*$R$6/100*(365-$R$17)*(1+$R$8*AJ47)</f>
        <v>#N/A</v>
      </c>
      <c r="AP56" s="141" t="s">
        <v>202</v>
      </c>
      <c r="AQ56" s="65"/>
      <c r="AR56" s="474" t="s">
        <v>203</v>
      </c>
      <c r="AS56" s="195"/>
      <c r="AU56" s="673" t="s">
        <v>620</v>
      </c>
      <c r="AV56" s="339">
        <f>AM217</f>
        <v>2.0932449446635881</v>
      </c>
      <c r="AW56" s="339">
        <f>AN217</f>
        <v>161.2162899680404</v>
      </c>
      <c r="AX56" s="339">
        <f>AO217</f>
        <v>161.2162899680404</v>
      </c>
      <c r="AY56" s="540">
        <f>SUM(AV56:AX56)+$AY$54</f>
        <v>657.64669323374437</v>
      </c>
      <c r="AZ56" s="195"/>
    </row>
    <row r="57" spans="21:52" x14ac:dyDescent="0.25">
      <c r="U57" s="275"/>
      <c r="Z57" s="96" t="s">
        <v>247</v>
      </c>
      <c r="AA57" s="85" t="s">
        <v>66</v>
      </c>
      <c r="AB57" s="202"/>
      <c r="AC57" s="202"/>
      <c r="AE57" s="65"/>
      <c r="AF57" s="320" t="s">
        <v>203</v>
      </c>
      <c r="AG57" s="476"/>
      <c r="AH57"/>
      <c r="AI57"/>
      <c r="AJ57"/>
      <c r="AK57"/>
      <c r="AL57" s="96" t="s">
        <v>247</v>
      </c>
      <c r="AM57" s="85" t="s">
        <v>66</v>
      </c>
      <c r="AN57" s="202"/>
      <c r="AO57" s="202"/>
      <c r="AP57" s="202"/>
      <c r="AQ57" s="65"/>
      <c r="AR57" s="474" t="s">
        <v>203</v>
      </c>
      <c r="AS57" s="195"/>
      <c r="AU57" s="673" t="s">
        <v>625</v>
      </c>
      <c r="AV57" s="339">
        <f>AM254</f>
        <v>2.0216452275985337</v>
      </c>
      <c r="AW57" s="339">
        <f>AN254</f>
        <v>161.42607147333408</v>
      </c>
      <c r="AX57" s="339">
        <f>AO254</f>
        <v>161.42607147333408</v>
      </c>
      <c r="AY57" s="540">
        <f>SUM(AV57:AX57)+$AY$54</f>
        <v>657.99465652726667</v>
      </c>
      <c r="AZ57" s="195"/>
    </row>
    <row r="58" spans="21:52" x14ac:dyDescent="0.25">
      <c r="U58" s="275"/>
      <c r="Z58" s="96" t="s">
        <v>67</v>
      </c>
      <c r="AA58" s="85" t="s">
        <v>66</v>
      </c>
      <c r="AB58" s="176">
        <f>(_xlfn.AGGREGATE(9,6,AB41,AB42,AB44,AB45)/365)*0.67*X35*$R$9/100*$R$17</f>
        <v>19.000626625380818</v>
      </c>
      <c r="AC58" s="176">
        <f>(_xlfn.AGGREGATE(9,6,AB41,AB42,AB44,AB45)/365)*0.67*X35*$R$9/100*(365-$R$17)</f>
        <v>19.000626625380818</v>
      </c>
      <c r="AD58" s="141" t="s">
        <v>184</v>
      </c>
      <c r="AE58" s="65"/>
      <c r="AF58" s="320" t="s">
        <v>203</v>
      </c>
      <c r="AG58" s="476"/>
      <c r="AH58"/>
      <c r="AI58"/>
      <c r="AJ58"/>
      <c r="AK58"/>
      <c r="AL58" s="96" t="s">
        <v>67</v>
      </c>
      <c r="AM58" s="85" t="s">
        <v>66</v>
      </c>
      <c r="AN58" s="176">
        <f>(_xlfn.AGGREGATE(9,6,AN41,AN42,AN44,AN45)/365)*0.67*AJ35*$R$9/100*$R$17</f>
        <v>15.74330815950411</v>
      </c>
      <c r="AO58" s="176">
        <f>(_xlfn.AGGREGATE(9,6,AN41,AN42,AN44,AN45)/365)*0.67*AJ35*$R$9/100*(365-$R$17)</f>
        <v>15.74330815950411</v>
      </c>
      <c r="AP58" s="141" t="s">
        <v>184</v>
      </c>
      <c r="AQ58" s="65"/>
      <c r="AR58" s="474" t="s">
        <v>203</v>
      </c>
      <c r="AS58" s="195"/>
      <c r="AU58" s="673" t="s">
        <v>639</v>
      </c>
      <c r="AV58" s="339">
        <f>AM69</f>
        <v>3.590924275726028</v>
      </c>
      <c r="AW58" s="339">
        <f>AN69</f>
        <v>485.15165897565555</v>
      </c>
      <c r="AX58" s="339">
        <f>AO69</f>
        <v>485.15165897565555</v>
      </c>
      <c r="AY58" s="481">
        <f>SUM(AV58:AX58)</f>
        <v>973.89424222703713</v>
      </c>
      <c r="AZ58" s="195"/>
    </row>
    <row r="59" spans="21:52" x14ac:dyDescent="0.25">
      <c r="U59" s="275"/>
      <c r="Z59" s="21"/>
      <c r="AA59" s="5"/>
      <c r="AB59" s="5"/>
      <c r="AC59" s="5"/>
      <c r="AD59" s="204"/>
      <c r="AE59" s="125" t="s">
        <v>71</v>
      </c>
      <c r="AF59" s="320" t="s">
        <v>203</v>
      </c>
      <c r="AG59" s="476"/>
      <c r="AH59"/>
      <c r="AI59"/>
      <c r="AJ59"/>
      <c r="AK59"/>
      <c r="AL59" s="21"/>
      <c r="AM59" s="5"/>
      <c r="AN59" s="5"/>
      <c r="AO59" s="5"/>
      <c r="AP59" s="204"/>
      <c r="AQ59" s="125" t="s">
        <v>71</v>
      </c>
      <c r="AR59" s="474" t="s">
        <v>203</v>
      </c>
      <c r="AS59" s="195"/>
      <c r="AU59" s="671" t="s">
        <v>634</v>
      </c>
      <c r="AV59" s="337">
        <f>AM291</f>
        <v>0</v>
      </c>
      <c r="AW59" s="337">
        <f>AN291</f>
        <v>127.42257460777716</v>
      </c>
      <c r="AX59" s="337">
        <f>AO291</f>
        <v>127.42257460777716</v>
      </c>
      <c r="AY59" s="478">
        <f>SUM(AV59:AX59)</f>
        <v>254.84514921555433</v>
      </c>
      <c r="AZ59" s="195"/>
    </row>
    <row r="60" spans="21:52" x14ac:dyDescent="0.25">
      <c r="U60" s="275"/>
      <c r="Z60" s="97" t="s">
        <v>68</v>
      </c>
      <c r="AA60" s="85" t="s">
        <v>66</v>
      </c>
      <c r="AB60" s="93">
        <f xml:space="preserve"> _xlfn.AGGREGATE(9, 6, AB58:AC58, AB52:AC53,AB49)</f>
        <v>42.084265323826834</v>
      </c>
      <c r="AC60" s="176"/>
      <c r="AD60" s="141" t="s">
        <v>118</v>
      </c>
      <c r="AE60" s="65"/>
      <c r="AF60" s="320" t="s">
        <v>203</v>
      </c>
      <c r="AG60" s="476"/>
      <c r="AH60"/>
      <c r="AI60"/>
      <c r="AJ60"/>
      <c r="AK60"/>
      <c r="AL60" s="97" t="s">
        <v>68</v>
      </c>
      <c r="AM60" s="85" t="s">
        <v>66</v>
      </c>
      <c r="AN60" s="93">
        <f xml:space="preserve"> _xlfn.AGGREGATE(9, 6, AN58:AO58, AN52:AO53,AN49)</f>
        <v>34.906603664051502</v>
      </c>
      <c r="AO60" s="176"/>
      <c r="AP60" s="141" t="s">
        <v>118</v>
      </c>
      <c r="AQ60" s="65"/>
      <c r="AR60" s="474" t="s">
        <v>203</v>
      </c>
      <c r="AS60" s="195"/>
      <c r="AU60" s="671" t="s">
        <v>638</v>
      </c>
      <c r="AV60" s="5"/>
      <c r="AW60" s="5"/>
      <c r="AX60" s="5"/>
      <c r="AY60" s="330"/>
      <c r="AZ60" s="195"/>
    </row>
    <row r="61" spans="21:52" x14ac:dyDescent="0.25">
      <c r="U61" s="275"/>
      <c r="Z61" s="97" t="s">
        <v>248</v>
      </c>
      <c r="AA61" s="85" t="s">
        <v>66</v>
      </c>
      <c r="AB61" s="259">
        <f xml:space="preserve"> _xlfn.AGGREGATE(9, 6, AB58:AC58, AB56:AC57,AB49,AB53:AC53)</f>
        <v>42.084265323826834</v>
      </c>
      <c r="AC61" s="85"/>
      <c r="AD61" s="141"/>
      <c r="AE61" s="65"/>
      <c r="AF61" s="320" t="s">
        <v>203</v>
      </c>
      <c r="AG61" s="476"/>
      <c r="AH61"/>
      <c r="AI61"/>
      <c r="AJ61"/>
      <c r="AK61"/>
      <c r="AL61" s="97" t="s">
        <v>248</v>
      </c>
      <c r="AM61" s="85" t="s">
        <v>66</v>
      </c>
      <c r="AN61" s="259">
        <f xml:space="preserve"> _xlfn.AGGREGATE(9, 6, AN58:AO58, AN56:AO57,AN49,AN53:AO53)</f>
        <v>34.906603664051509</v>
      </c>
      <c r="AO61" s="85"/>
      <c r="AP61" s="141"/>
      <c r="AQ61" s="65"/>
      <c r="AR61" s="474" t="s">
        <v>203</v>
      </c>
      <c r="AS61" s="195"/>
      <c r="AU61" s="672" t="s">
        <v>635</v>
      </c>
      <c r="AV61" s="338">
        <f>AM328</f>
        <v>0</v>
      </c>
      <c r="AW61" s="338">
        <f>AN328</f>
        <v>146.8888182405</v>
      </c>
      <c r="AX61" s="338">
        <f>AO328</f>
        <v>146.8888182405</v>
      </c>
      <c r="AY61" s="454">
        <f>SUM(AV61:AX61)</f>
        <v>293.777636481</v>
      </c>
      <c r="AZ61" s="195"/>
    </row>
    <row r="62" spans="21:52" x14ac:dyDescent="0.25">
      <c r="U62" s="275"/>
      <c r="Z62" s="54"/>
      <c r="AA62" s="55" t="s">
        <v>238</v>
      </c>
      <c r="AB62" s="14" t="s">
        <v>381</v>
      </c>
      <c r="AC62" s="15" t="s">
        <v>382</v>
      </c>
      <c r="AD62" s="141"/>
      <c r="AE62" s="65"/>
      <c r="AF62" s="320" t="s">
        <v>203</v>
      </c>
      <c r="AG62" s="476"/>
      <c r="AH62"/>
      <c r="AI62"/>
      <c r="AJ62"/>
      <c r="AK62"/>
      <c r="AL62" s="54"/>
      <c r="AM62" s="55" t="s">
        <v>238</v>
      </c>
      <c r="AN62" s="14" t="s">
        <v>381</v>
      </c>
      <c r="AO62" s="15" t="s">
        <v>382</v>
      </c>
      <c r="AP62" s="141"/>
      <c r="AQ62" s="65"/>
      <c r="AR62" s="474" t="s">
        <v>203</v>
      </c>
      <c r="AS62" s="195"/>
      <c r="AU62" s="673" t="s">
        <v>623</v>
      </c>
      <c r="AV62" s="339">
        <f>AM365</f>
        <v>0</v>
      </c>
      <c r="AW62" s="339">
        <f>AN365</f>
        <v>254.14490117641591</v>
      </c>
      <c r="AX62" s="339">
        <f>AO365</f>
        <v>254.14490117641591</v>
      </c>
      <c r="AY62" s="540">
        <f>SUM(AV62:AX62)+$AY$61</f>
        <v>802.06743883383183</v>
      </c>
    </row>
    <row r="63" spans="21:52" x14ac:dyDescent="0.25">
      <c r="U63" s="275"/>
      <c r="Z63" s="52" t="s">
        <v>421</v>
      </c>
      <c r="AA63" s="333">
        <f>AB49</f>
        <v>0.15827477917808216</v>
      </c>
      <c r="AB63" s="333">
        <f xml:space="preserve"> _xlfn.AGGREGATE(9, 6, AB58, AB56:AB57,AB53)</f>
        <v>20.962995272324378</v>
      </c>
      <c r="AC63" s="334">
        <f xml:space="preserve"> _xlfn.AGGREGATE(9, 6, AC58, AC56:AC57,AC53)</f>
        <v>20.962995272324378</v>
      </c>
      <c r="AD63" s="141"/>
      <c r="AE63" s="65"/>
      <c r="AF63" s="320" t="s">
        <v>203</v>
      </c>
      <c r="AG63" s="476"/>
      <c r="AH63"/>
      <c r="AI63"/>
      <c r="AJ63"/>
      <c r="AK63"/>
      <c r="AL63" s="52" t="s">
        <v>421</v>
      </c>
      <c r="AM63" s="333">
        <f>AN49</f>
        <v>0.12870696328767126</v>
      </c>
      <c r="AN63" s="333">
        <f xml:space="preserve"> _xlfn.AGGREGATE(9, 6, AN58, AN56:AN57,AN53)</f>
        <v>17.38894835038192</v>
      </c>
      <c r="AO63" s="334">
        <f xml:space="preserve"> _xlfn.AGGREGATE(9, 6, AO58, AO56:AO57,AO53)</f>
        <v>17.38894835038192</v>
      </c>
      <c r="AP63" s="141"/>
      <c r="AQ63" s="65"/>
      <c r="AR63" s="474" t="s">
        <v>203</v>
      </c>
      <c r="AS63" s="195"/>
      <c r="AU63" s="673" t="s">
        <v>624</v>
      </c>
      <c r="AV63" s="339">
        <f>AM402</f>
        <v>0</v>
      </c>
      <c r="AW63" s="339">
        <f>AN402</f>
        <v>273.8736457354168</v>
      </c>
      <c r="AX63" s="339">
        <f>AO402</f>
        <v>273.8736457354168</v>
      </c>
      <c r="AY63" s="540">
        <f>SUM(AV63:AX63)+$AY$61</f>
        <v>841.52492795183366</v>
      </c>
    </row>
    <row r="64" spans="21:52" x14ac:dyDescent="0.25">
      <c r="U64" s="275"/>
      <c r="Z64" s="97"/>
      <c r="AA64" s="85"/>
      <c r="AB64" s="85"/>
      <c r="AC64" s="85"/>
      <c r="AD64" s="141"/>
      <c r="AE64" s="65"/>
      <c r="AF64" s="320" t="s">
        <v>203</v>
      </c>
      <c r="AG64" s="476"/>
      <c r="AH64"/>
      <c r="AI64"/>
      <c r="AJ64"/>
      <c r="AK64"/>
      <c r="AL64" s="97"/>
      <c r="AM64" s="85"/>
      <c r="AN64" s="85"/>
      <c r="AO64" s="85"/>
      <c r="AP64" s="141"/>
      <c r="AQ64" s="65"/>
      <c r="AR64" s="474" t="s">
        <v>203</v>
      </c>
      <c r="AS64" s="195"/>
      <c r="AU64" s="276"/>
      <c r="AV64" s="277"/>
      <c r="AW64" s="277"/>
      <c r="AX64" s="277"/>
      <c r="AY64" s="482"/>
    </row>
    <row r="65" spans="21:45" x14ac:dyDescent="0.25">
      <c r="U65" s="275"/>
      <c r="Z65" s="96" t="s">
        <v>181</v>
      </c>
      <c r="AA65" s="85"/>
      <c r="AB65" s="176"/>
      <c r="AC65" s="176"/>
      <c r="AD65" s="141"/>
      <c r="AE65" s="65"/>
      <c r="AF65" s="320" t="s">
        <v>203</v>
      </c>
      <c r="AG65" s="476"/>
      <c r="AH65"/>
      <c r="AI65"/>
      <c r="AJ65"/>
      <c r="AK65"/>
      <c r="AL65" s="96" t="s">
        <v>181</v>
      </c>
      <c r="AM65" s="85"/>
      <c r="AN65" s="176"/>
      <c r="AO65" s="176"/>
      <c r="AP65" s="141"/>
      <c r="AQ65" s="65"/>
      <c r="AR65" s="474" t="s">
        <v>203</v>
      </c>
      <c r="AS65" s="195"/>
    </row>
    <row r="66" spans="21:45" x14ac:dyDescent="0.25">
      <c r="U66" s="275"/>
      <c r="Z66" s="96" t="s">
        <v>185</v>
      </c>
      <c r="AA66" s="84" t="s">
        <v>13</v>
      </c>
      <c r="AB66" s="176">
        <f>AB60*$R$14</f>
        <v>1174.1510025347686</v>
      </c>
      <c r="AC66" s="176"/>
      <c r="AD66" s="141" t="s">
        <v>117</v>
      </c>
      <c r="AE66" s="65"/>
      <c r="AF66" s="320" t="s">
        <v>203</v>
      </c>
      <c r="AG66" s="476"/>
      <c r="AH66"/>
      <c r="AI66"/>
      <c r="AJ66"/>
      <c r="AK66"/>
      <c r="AL66" s="96" t="s">
        <v>185</v>
      </c>
      <c r="AM66" s="84" t="s">
        <v>13</v>
      </c>
      <c r="AN66" s="176">
        <f>AN60*$R$14</f>
        <v>973.8942422270369</v>
      </c>
      <c r="AO66" s="176"/>
      <c r="AP66" s="141" t="s">
        <v>117</v>
      </c>
      <c r="AQ66" s="65"/>
      <c r="AR66" s="474" t="s">
        <v>203</v>
      </c>
      <c r="AS66" s="195"/>
    </row>
    <row r="67" spans="21:45" x14ac:dyDescent="0.25">
      <c r="U67" s="275"/>
      <c r="Z67" s="96" t="s">
        <v>249</v>
      </c>
      <c r="AA67" s="84" t="s">
        <v>13</v>
      </c>
      <c r="AB67" s="258">
        <f>AB61*$R$14</f>
        <v>1174.1510025347686</v>
      </c>
      <c r="AC67" s="176"/>
      <c r="AD67" s="141" t="s">
        <v>117</v>
      </c>
      <c r="AE67" s="65"/>
      <c r="AF67" s="320" t="s">
        <v>203</v>
      </c>
      <c r="AG67" s="476"/>
      <c r="AH67"/>
      <c r="AI67"/>
      <c r="AJ67"/>
      <c r="AK67"/>
      <c r="AL67" s="96" t="s">
        <v>249</v>
      </c>
      <c r="AM67" s="84" t="s">
        <v>13</v>
      </c>
      <c r="AN67" s="258">
        <f>AN61*$R$14</f>
        <v>973.89424222703701</v>
      </c>
      <c r="AO67" s="176"/>
      <c r="AP67" s="141" t="s">
        <v>117</v>
      </c>
      <c r="AQ67" s="65"/>
      <c r="AR67" s="474" t="s">
        <v>203</v>
      </c>
      <c r="AS67" s="195"/>
    </row>
    <row r="68" spans="21:45" x14ac:dyDescent="0.25">
      <c r="U68" s="275"/>
      <c r="Z68" s="25"/>
      <c r="AA68" s="55" t="s">
        <v>238</v>
      </c>
      <c r="AB68" s="14" t="s">
        <v>381</v>
      </c>
      <c r="AC68" s="15" t="s">
        <v>382</v>
      </c>
      <c r="AE68" s="18"/>
      <c r="AF68" s="320" t="s">
        <v>203</v>
      </c>
      <c r="AG68" s="476"/>
      <c r="AH68"/>
      <c r="AI68"/>
      <c r="AJ68"/>
      <c r="AK68"/>
      <c r="AL68" s="25"/>
      <c r="AM68" s="55" t="s">
        <v>238</v>
      </c>
      <c r="AN68" s="14" t="s">
        <v>381</v>
      </c>
      <c r="AO68" s="15" t="s">
        <v>382</v>
      </c>
      <c r="AP68" s="202"/>
      <c r="AQ68" s="18"/>
      <c r="AR68" s="474" t="s">
        <v>203</v>
      </c>
      <c r="AS68" s="195"/>
    </row>
    <row r="69" spans="21:45" x14ac:dyDescent="0.25">
      <c r="U69" s="275"/>
      <c r="Z69" s="29" t="s">
        <v>422</v>
      </c>
      <c r="AA69" s="333">
        <f>AA63*$R$14</f>
        <v>4.4158663390684918</v>
      </c>
      <c r="AB69" s="333">
        <f>AB63*$R$14</f>
        <v>584.86756809785015</v>
      </c>
      <c r="AC69" s="334">
        <f>AC63*$R$14</f>
        <v>584.86756809785015</v>
      </c>
      <c r="AD69" s="335" t="s">
        <v>117</v>
      </c>
      <c r="AE69" s="23"/>
      <c r="AF69" s="320" t="s">
        <v>203</v>
      </c>
      <c r="AG69" s="476"/>
      <c r="AH69"/>
      <c r="AI69"/>
      <c r="AJ69"/>
      <c r="AK69"/>
      <c r="AL69" s="29" t="s">
        <v>422</v>
      </c>
      <c r="AM69" s="333">
        <f>AM63*$R$14</f>
        <v>3.590924275726028</v>
      </c>
      <c r="AN69" s="333">
        <f>AN63*$R$14</f>
        <v>485.15165897565555</v>
      </c>
      <c r="AO69" s="334">
        <f>AO63*$R$14</f>
        <v>485.15165897565555</v>
      </c>
      <c r="AP69" s="335" t="s">
        <v>117</v>
      </c>
      <c r="AQ69" s="23"/>
      <c r="AR69" s="474" t="s">
        <v>203</v>
      </c>
      <c r="AS69" s="195"/>
    </row>
    <row r="70" spans="21:45" x14ac:dyDescent="0.25">
      <c r="AF70" s="320" t="s">
        <v>203</v>
      </c>
      <c r="AG70"/>
      <c r="AH70"/>
      <c r="AI70"/>
      <c r="AJ70"/>
      <c r="AK70"/>
      <c r="AL70"/>
      <c r="AM70"/>
      <c r="AN70"/>
      <c r="AO70"/>
      <c r="AP70" s="202"/>
      <c r="AQ70"/>
      <c r="AR70" s="474" t="s">
        <v>203</v>
      </c>
      <c r="AS70" s="195"/>
    </row>
    <row r="71" spans="21:45" x14ac:dyDescent="0.25">
      <c r="U71" s="275"/>
      <c r="V71" s="670" t="s">
        <v>588</v>
      </c>
      <c r="AF71" s="320" t="s">
        <v>203</v>
      </c>
      <c r="AG71" s="476"/>
      <c r="AH71" s="670" t="s">
        <v>589</v>
      </c>
      <c r="AI71"/>
      <c r="AJ71"/>
      <c r="AK71"/>
      <c r="AL71"/>
      <c r="AM71"/>
      <c r="AN71"/>
      <c r="AO71"/>
      <c r="AP71" s="202"/>
      <c r="AQ71"/>
      <c r="AR71" s="474" t="s">
        <v>203</v>
      </c>
      <c r="AS71" s="195"/>
    </row>
    <row r="72" spans="21:45" x14ac:dyDescent="0.25">
      <c r="U72" s="275"/>
      <c r="W72" s="670" t="s">
        <v>65</v>
      </c>
      <c r="X72">
        <f>INDEX($Q$2:$S$3, 2,MATCH(W72,$Q$2:$S$2,0))</f>
        <v>0.18</v>
      </c>
      <c r="Y72" t="s">
        <v>63</v>
      </c>
      <c r="Z72" s="103"/>
      <c r="AA72" s="191"/>
      <c r="AB72" s="191"/>
      <c r="AC72" s="191"/>
      <c r="AD72" s="237"/>
      <c r="AE72" s="238"/>
      <c r="AF72" s="320" t="s">
        <v>203</v>
      </c>
      <c r="AG72" s="476"/>
      <c r="AH72"/>
      <c r="AI72" s="670" t="s">
        <v>65</v>
      </c>
      <c r="AJ72">
        <f>INDEX($Q$2:$S$3, 2,MATCH(AI72,$Q$2:$S$2,0))</f>
        <v>0.18</v>
      </c>
      <c r="AK72" t="s">
        <v>63</v>
      </c>
      <c r="AL72" s="103"/>
      <c r="AM72" s="191"/>
      <c r="AN72" s="191"/>
      <c r="AO72" s="191"/>
      <c r="AP72" s="237"/>
      <c r="AQ72" s="238"/>
      <c r="AR72" s="474" t="s">
        <v>203</v>
      </c>
      <c r="AS72" s="195"/>
    </row>
    <row r="73" spans="21:45" x14ac:dyDescent="0.25">
      <c r="U73" s="275"/>
      <c r="W73" s="108" t="s">
        <v>93</v>
      </c>
      <c r="X73" s="109"/>
      <c r="Z73" s="239" t="s">
        <v>231</v>
      </c>
      <c r="AA73" s="194"/>
      <c r="AB73" s="194"/>
      <c r="AC73" s="194"/>
      <c r="AD73" s="240"/>
      <c r="AE73" s="241"/>
      <c r="AF73" s="320" t="s">
        <v>203</v>
      </c>
      <c r="AG73" s="476"/>
      <c r="AH73"/>
      <c r="AI73" s="108" t="s">
        <v>93</v>
      </c>
      <c r="AJ73" s="109"/>
      <c r="AK73"/>
      <c r="AL73" s="239" t="s">
        <v>231</v>
      </c>
      <c r="AM73" s="194"/>
      <c r="AN73" s="194"/>
      <c r="AO73" s="194"/>
      <c r="AP73" s="240"/>
      <c r="AQ73" s="241"/>
      <c r="AR73" s="474" t="s">
        <v>203</v>
      </c>
      <c r="AS73" s="195"/>
    </row>
    <row r="74" spans="21:45" x14ac:dyDescent="0.25">
      <c r="U74" s="275"/>
      <c r="W74" s="110" t="s">
        <v>81</v>
      </c>
      <c r="X74" s="665">
        <v>0</v>
      </c>
      <c r="Z74" s="126"/>
      <c r="AA74" s="192"/>
      <c r="AB74" s="192"/>
      <c r="AC74" s="192"/>
      <c r="AD74" s="242"/>
      <c r="AE74" s="243"/>
      <c r="AF74" s="320" t="s">
        <v>203</v>
      </c>
      <c r="AG74" s="476"/>
      <c r="AH74"/>
      <c r="AI74" s="110" t="s">
        <v>81</v>
      </c>
      <c r="AJ74" s="665">
        <v>0</v>
      </c>
      <c r="AK74"/>
      <c r="AL74" s="126"/>
      <c r="AM74" s="192"/>
      <c r="AN74" s="192"/>
      <c r="AO74" s="192"/>
      <c r="AP74" s="242"/>
      <c r="AQ74" s="243"/>
      <c r="AR74" s="474" t="s">
        <v>203</v>
      </c>
      <c r="AS74" s="195"/>
    </row>
    <row r="75" spans="21:45" x14ac:dyDescent="0.25">
      <c r="U75" s="275"/>
      <c r="W75" s="228" t="s">
        <v>82</v>
      </c>
      <c r="X75" s="666">
        <v>0</v>
      </c>
      <c r="Z75" s="127"/>
      <c r="AA75" s="54" t="s">
        <v>5</v>
      </c>
      <c r="AB75" s="187" t="s">
        <v>6</v>
      </c>
      <c r="AC75" s="128"/>
      <c r="AD75" s="203"/>
      <c r="AE75" s="124"/>
      <c r="AF75" s="320" t="s">
        <v>203</v>
      </c>
      <c r="AG75" s="476"/>
      <c r="AH75"/>
      <c r="AI75" s="228" t="s">
        <v>82</v>
      </c>
      <c r="AJ75" s="666">
        <v>0</v>
      </c>
      <c r="AK75"/>
      <c r="AL75" s="127"/>
      <c r="AM75" s="54" t="s">
        <v>5</v>
      </c>
      <c r="AN75" s="187" t="s">
        <v>6</v>
      </c>
      <c r="AO75" s="128"/>
      <c r="AP75" s="203"/>
      <c r="AQ75" s="124"/>
      <c r="AR75" s="474" t="s">
        <v>203</v>
      </c>
      <c r="AS75" s="195"/>
    </row>
    <row r="76" spans="21:45" x14ac:dyDescent="0.25">
      <c r="U76" s="275"/>
      <c r="Z76" s="96" t="s">
        <v>145</v>
      </c>
      <c r="AA76" s="183">
        <f>INDEX(Normtal!$Q$3:$AC$551,MATCH('CH4_Gylle_Stald&amp;Lager'!V71,Normtal!$Q$3:$Q$551,0),9)*(X74/365)*(X75/24)</f>
        <v>0</v>
      </c>
      <c r="AB76" s="78"/>
      <c r="AC76" s="44"/>
      <c r="AD76" s="204" t="s">
        <v>147</v>
      </c>
      <c r="AE76" s="65"/>
      <c r="AF76" s="320" t="s">
        <v>203</v>
      </c>
      <c r="AG76" s="476"/>
      <c r="AH76"/>
      <c r="AI76"/>
      <c r="AJ76"/>
      <c r="AK76"/>
      <c r="AL76" s="96" t="s">
        <v>145</v>
      </c>
      <c r="AM76" s="183">
        <f>INDEX(Normtal!$Q$3:$AC$551,MATCH('CH4_Gylle_Stald&amp;Lager'!AH71,Normtal!$Q$3:$Q$551,0),9)*(AJ74/365)*(AJ75/24)</f>
        <v>0</v>
      </c>
      <c r="AN76" s="78"/>
      <c r="AO76" s="44"/>
      <c r="AP76" s="204" t="s">
        <v>147</v>
      </c>
      <c r="AQ76" s="65"/>
      <c r="AR76" s="474" t="s">
        <v>203</v>
      </c>
      <c r="AS76" s="195"/>
    </row>
    <row r="77" spans="21:45" x14ac:dyDescent="0.25">
      <c r="U77" s="275"/>
      <c r="V77" s="45"/>
      <c r="W77" s="229" t="s">
        <v>221</v>
      </c>
      <c r="X77" s="230"/>
      <c r="Z77" s="96"/>
      <c r="AA77" s="667"/>
      <c r="AB77" s="220" t="s">
        <v>210</v>
      </c>
      <c r="AC77" s="5"/>
      <c r="AD77" s="226"/>
      <c r="AE77" s="65"/>
      <c r="AF77" s="320" t="s">
        <v>203</v>
      </c>
      <c r="AG77" s="476"/>
      <c r="AH77" s="45"/>
      <c r="AI77" s="229" t="s">
        <v>221</v>
      </c>
      <c r="AJ77" s="230"/>
      <c r="AK77"/>
      <c r="AL77" s="96"/>
      <c r="AM77" s="667"/>
      <c r="AN77" s="220" t="s">
        <v>210</v>
      </c>
      <c r="AO77" s="5"/>
      <c r="AP77" s="226"/>
      <c r="AQ77" s="65"/>
      <c r="AR77" s="474" t="s">
        <v>203</v>
      </c>
      <c r="AS77" s="195"/>
    </row>
    <row r="78" spans="21:45" x14ac:dyDescent="0.25">
      <c r="U78" s="275"/>
      <c r="V78" s="5"/>
      <c r="W78" s="231" t="s">
        <v>224</v>
      </c>
      <c r="X78" s="669">
        <v>0</v>
      </c>
      <c r="Z78" s="97" t="s">
        <v>115</v>
      </c>
      <c r="AA78" s="183" t="e">
        <f>INDEX(Normtal!$Q$3:$AC$551,MATCH('CH4_Gylle_Stald&amp;Lager'!AA77,Normtal!$AA$3:$AA$551,0),9)*$X79/365</f>
        <v>#N/A</v>
      </c>
      <c r="AB78" s="183" t="e">
        <f>INDEX(Normtal!$Q$3:$AC$551,MATCH('CH4_Gylle_Stald&amp;Lager'!AB77,Normtal!$AA$3:$AA$551,0),9)*$X79/365</f>
        <v>#N/A</v>
      </c>
      <c r="AC78" s="44"/>
      <c r="AD78" s="204"/>
      <c r="AE78" s="65"/>
      <c r="AF78" s="320" t="s">
        <v>203</v>
      </c>
      <c r="AG78" s="476"/>
      <c r="AH78" s="5"/>
      <c r="AI78" s="231" t="s">
        <v>224</v>
      </c>
      <c r="AJ78" s="669">
        <v>0</v>
      </c>
      <c r="AK78"/>
      <c r="AL78" s="97" t="s">
        <v>115</v>
      </c>
      <c r="AM78" s="183" t="e">
        <f>INDEX(Normtal!$Q$3:$AC$551,MATCH('CH4_Gylle_Stald&amp;Lager'!AM77,Normtal!$AA$3:$AA$551,0),9)*$AJ79/365</f>
        <v>#N/A</v>
      </c>
      <c r="AN78" s="183" t="e">
        <f>INDEX(Normtal!$Q$3:$AC$551,MATCH('CH4_Gylle_Stald&amp;Lager'!AN77,Normtal!$AA$3:$AA$551,0),9)*$AJ79/365</f>
        <v>#N/A</v>
      </c>
      <c r="AO78" s="44"/>
      <c r="AP78" s="204"/>
      <c r="AQ78" s="65"/>
      <c r="AR78" s="474" t="s">
        <v>203</v>
      </c>
      <c r="AS78" s="195"/>
    </row>
    <row r="79" spans="21:45" x14ac:dyDescent="0.25">
      <c r="U79" s="275"/>
      <c r="W79" s="233" t="s">
        <v>223</v>
      </c>
      <c r="X79" s="583">
        <f>(365-X74*X75/24)*X78</f>
        <v>0</v>
      </c>
      <c r="Z79" s="97" t="s">
        <v>116</v>
      </c>
      <c r="AA79" s="183" t="e">
        <f>INDEX(Normtal!$Q$3:$AC$551,MATCH('CH4_Gylle_Stald&amp;Lager'!AA77,Normtal!$AA$3:$AA$551,0),7)*$X79/365</f>
        <v>#N/A</v>
      </c>
      <c r="AB79" s="183" t="e">
        <f>INDEX(Normtal!$Q$3:$AC$551,MATCH('CH4_Gylle_Stald&amp;Lager'!AB77,Normtal!$AA$3:$AA$551,0),7)*$X79/365</f>
        <v>#N/A</v>
      </c>
      <c r="AC79" s="44"/>
      <c r="AD79" s="204"/>
      <c r="AE79" s="65"/>
      <c r="AF79" s="320" t="s">
        <v>203</v>
      </c>
      <c r="AG79" s="476"/>
      <c r="AH79"/>
      <c r="AI79" s="233" t="s">
        <v>223</v>
      </c>
      <c r="AJ79" s="583">
        <f>(365-AJ74*AJ75/24)*AJ78</f>
        <v>0</v>
      </c>
      <c r="AK79"/>
      <c r="AL79" s="97" t="s">
        <v>116</v>
      </c>
      <c r="AM79" s="183" t="e">
        <f>INDEX(Normtal!$Q$3:$AC$551,MATCH('CH4_Gylle_Stald&amp;Lager'!AM77,Normtal!$AA$3:$AA$551,0),7)*$AJ79/365</f>
        <v>#N/A</v>
      </c>
      <c r="AN79" s="183" t="e">
        <f>INDEX(Normtal!$Q$3:$AC$551,MATCH('CH4_Gylle_Stald&amp;Lager'!AN77,Normtal!$AA$3:$AA$551,0),7)*$AJ79/365</f>
        <v>#N/A</v>
      </c>
      <c r="AO79" s="44"/>
      <c r="AP79" s="204"/>
      <c r="AQ79" s="65"/>
      <c r="AR79" s="474" t="s">
        <v>203</v>
      </c>
      <c r="AS79" s="195"/>
    </row>
    <row r="80" spans="21:45" x14ac:dyDescent="0.25">
      <c r="U80" s="275"/>
      <c r="V80" s="134"/>
      <c r="W80" s="229" t="s">
        <v>337</v>
      </c>
      <c r="X80" s="230"/>
      <c r="Z80" s="225"/>
      <c r="AA80" s="667"/>
      <c r="AB80" s="667" t="s">
        <v>591</v>
      </c>
      <c r="AC80" s="5"/>
      <c r="AD80" s="227"/>
      <c r="AE80" s="65"/>
      <c r="AF80" s="320" t="s">
        <v>203</v>
      </c>
      <c r="AG80" s="476"/>
      <c r="AH80" s="134"/>
      <c r="AI80" s="229" t="s">
        <v>337</v>
      </c>
      <c r="AJ80" s="230"/>
      <c r="AK80"/>
      <c r="AL80" s="225"/>
      <c r="AM80" s="667"/>
      <c r="AN80" s="667" t="s">
        <v>597</v>
      </c>
      <c r="AO80" s="5"/>
      <c r="AP80" s="227"/>
      <c r="AQ80" s="65"/>
      <c r="AR80" s="474" t="s">
        <v>203</v>
      </c>
    </row>
    <row r="81" spans="21:44" x14ac:dyDescent="0.25">
      <c r="U81" s="275"/>
      <c r="W81" s="231" t="s">
        <v>224</v>
      </c>
      <c r="X81" s="232">
        <f>1-X78</f>
        <v>1</v>
      </c>
      <c r="Z81" s="97" t="s">
        <v>115</v>
      </c>
      <c r="AA81" s="183" t="e">
        <f>INDEX(Normtal!$Q$3:$AC$551,MATCH('CH4_Gylle_Stald&amp;Lager'!AA80,Normtal!$AA$3:$AA$551,0),9)*$X82/365</f>
        <v>#N/A</v>
      </c>
      <c r="AB81" s="183">
        <f>INDEX(Normtal!$Q$3:$AC$551,MATCH('CH4_Gylle_Stald&amp;Lager'!AB80,Normtal!$AA$3:$AA$551,0),9)*$X82/365</f>
        <v>133.05340759493671</v>
      </c>
      <c r="AC81" s="44"/>
      <c r="AD81" s="204" t="s">
        <v>148</v>
      </c>
      <c r="AE81" s="65"/>
      <c r="AF81" s="320" t="s">
        <v>203</v>
      </c>
      <c r="AG81" s="476"/>
      <c r="AH81"/>
      <c r="AI81" s="231" t="s">
        <v>224</v>
      </c>
      <c r="AJ81" s="232">
        <f>1-AJ78</f>
        <v>1</v>
      </c>
      <c r="AK81"/>
      <c r="AL81" s="97" t="s">
        <v>115</v>
      </c>
      <c r="AM81" s="183" t="e">
        <f>INDEX(Normtal!$Q$3:$AC$551,MATCH('CH4_Gylle_Stald&amp;Lager'!AM80,Normtal!$AA$3:$AA$551,0),9)*$AJ82/365</f>
        <v>#N/A</v>
      </c>
      <c r="AN81" s="183">
        <f>INDEX(Normtal!$Q$3:$AC$551,MATCH('CH4_Gylle_Stald&amp;Lager'!AN80,Normtal!$AA$3:$AA$551,0),9)*$AJ82/365</f>
        <v>98.736229834254161</v>
      </c>
      <c r="AO81" s="44"/>
      <c r="AP81" s="204" t="s">
        <v>148</v>
      </c>
      <c r="AQ81" s="65"/>
      <c r="AR81" s="474" t="s">
        <v>203</v>
      </c>
    </row>
    <row r="82" spans="21:44" x14ac:dyDescent="0.25">
      <c r="U82" s="275"/>
      <c r="V82" s="5"/>
      <c r="W82" s="233" t="s">
        <v>81</v>
      </c>
      <c r="X82" s="234">
        <f>(365-X74*X75/24)*X81</f>
        <v>365</v>
      </c>
      <c r="Z82" s="97" t="s">
        <v>116</v>
      </c>
      <c r="AA82" s="222" t="e">
        <f>INDEX(Normtal!$Q$3:$AC$551,MATCH('CH4_Gylle_Stald&amp;Lager'!AA80,Normtal!$AA$3:$AA$551,0),7)*$X82/365</f>
        <v>#N/A</v>
      </c>
      <c r="AB82" s="222">
        <f>INDEX(Normtal!$Q$3:$AC$551,MATCH('CH4_Gylle_Stald&amp;Lager'!AB80,Normtal!$AA$3:$AA$551,0),7)*$X82/365</f>
        <v>442.10624999999999</v>
      </c>
      <c r="AC82" s="44"/>
      <c r="AD82" s="141"/>
      <c r="AE82" s="65"/>
      <c r="AF82" s="320" t="s">
        <v>203</v>
      </c>
      <c r="AG82" s="476"/>
      <c r="AH82" s="5"/>
      <c r="AI82" s="233" t="s">
        <v>81</v>
      </c>
      <c r="AJ82" s="234">
        <f>(365-AJ74*AJ75/24)*AJ81</f>
        <v>365</v>
      </c>
      <c r="AK82"/>
      <c r="AL82" s="97" t="s">
        <v>116</v>
      </c>
      <c r="AM82" s="222" t="e">
        <f>INDEX(Normtal!$Q$3:$AC$551,MATCH('CH4_Gylle_Stald&amp;Lager'!AM80,Normtal!$AA$3:$AA$551,0),7)*$AJ82/365</f>
        <v>#N/A</v>
      </c>
      <c r="AN82" s="222">
        <f>INDEX(Normtal!$Q$3:$AC$551,MATCH('CH4_Gylle_Stald&amp;Lager'!AN80,Normtal!$AA$3:$AA$551,0),7)*$AJ82/365</f>
        <v>353.685</v>
      </c>
      <c r="AO82" s="44"/>
      <c r="AP82" s="141"/>
      <c r="AQ82" s="65"/>
      <c r="AR82" s="474" t="s">
        <v>203</v>
      </c>
    </row>
    <row r="83" spans="21:44" x14ac:dyDescent="0.25">
      <c r="U83" s="275"/>
      <c r="Z83" s="235" t="s">
        <v>225</v>
      </c>
      <c r="AA83" s="90">
        <f>_xlfn.AGGREGATE(9,6,AA76:AB76,AA78:AB78,AA81:AB81)</f>
        <v>133.05340759493671</v>
      </c>
      <c r="AB83" s="267">
        <f>INDEX(Normtal!$Q$3:$AC$551,MATCH('CH4_Gylle_Stald&amp;Lager'!V71,Normtal!$Q$3:$Q$551,0),9)</f>
        <v>133.05340759493671</v>
      </c>
      <c r="AC83" s="44"/>
      <c r="AD83" s="141"/>
      <c r="AE83" s="65"/>
      <c r="AF83" s="320" t="s">
        <v>203</v>
      </c>
      <c r="AG83" s="476"/>
      <c r="AH83"/>
      <c r="AI83"/>
      <c r="AJ83"/>
      <c r="AK83"/>
      <c r="AL83" s="235" t="s">
        <v>225</v>
      </c>
      <c r="AM83" s="90">
        <f>_xlfn.AGGREGATE(9,6,AM76:AN76,AM78:AN78,AM81:AN81)</f>
        <v>98.736229834254161</v>
      </c>
      <c r="AN83" s="267">
        <f>INDEX(Normtal!$Q$3:$AC$551,MATCH('CH4_Gylle_Stald&amp;Lager'!AH71,Normtal!$Q$3:$Q$551,0),9)</f>
        <v>98.736229834254161</v>
      </c>
      <c r="AO83" s="44"/>
      <c r="AP83" s="141"/>
      <c r="AQ83" s="65"/>
      <c r="AR83" s="474" t="s">
        <v>203</v>
      </c>
    </row>
    <row r="84" spans="21:44" x14ac:dyDescent="0.25">
      <c r="U84" s="275"/>
      <c r="W84" s="257" t="s">
        <v>245</v>
      </c>
      <c r="X84" s="668">
        <v>0</v>
      </c>
      <c r="Z84" s="96"/>
      <c r="AA84" s="85"/>
      <c r="AB84" s="93"/>
      <c r="AC84" s="93"/>
      <c r="AD84" s="141"/>
      <c r="AE84" s="65"/>
      <c r="AF84" s="320" t="s">
        <v>203</v>
      </c>
      <c r="AG84" s="476"/>
      <c r="AH84"/>
      <c r="AI84" s="257" t="s">
        <v>245</v>
      </c>
      <c r="AJ84" s="668">
        <v>0</v>
      </c>
      <c r="AK84"/>
      <c r="AL84" s="96"/>
      <c r="AM84" s="85"/>
      <c r="AN84" s="93"/>
      <c r="AO84" s="93"/>
      <c r="AP84" s="141"/>
      <c r="AQ84" s="65"/>
      <c r="AR84" s="474" t="s">
        <v>203</v>
      </c>
    </row>
    <row r="85" spans="21:44" x14ac:dyDescent="0.25">
      <c r="U85" s="275"/>
      <c r="Z85" s="96" t="s">
        <v>84</v>
      </c>
      <c r="AA85" s="85"/>
      <c r="AB85" s="85"/>
      <c r="AC85" s="85"/>
      <c r="AD85" s="141"/>
      <c r="AE85" s="65"/>
      <c r="AF85" s="320" t="s">
        <v>203</v>
      </c>
      <c r="AG85" s="476"/>
      <c r="AH85"/>
      <c r="AI85"/>
      <c r="AJ85"/>
      <c r="AK85"/>
      <c r="AL85" s="96" t="s">
        <v>84</v>
      </c>
      <c r="AM85" s="85"/>
      <c r="AN85" s="85"/>
      <c r="AO85" s="85"/>
      <c r="AP85" s="141"/>
      <c r="AQ85" s="65"/>
      <c r="AR85" s="474" t="s">
        <v>203</v>
      </c>
    </row>
    <row r="86" spans="21:44" x14ac:dyDescent="0.25">
      <c r="U86" s="275"/>
      <c r="W86" s="77" t="s">
        <v>226</v>
      </c>
      <c r="X86" s="236">
        <f>X74*X75/24+X79+X82</f>
        <v>365</v>
      </c>
      <c r="Z86" s="97" t="s">
        <v>62</v>
      </c>
      <c r="AA86" s="85" t="s">
        <v>66</v>
      </c>
      <c r="AB86" s="176">
        <f>(AA76)*0.67*X72*$R$10/100</f>
        <v>0</v>
      </c>
      <c r="AC86" s="176"/>
      <c r="AD86" s="141" t="s">
        <v>146</v>
      </c>
      <c r="AE86" s="65"/>
      <c r="AF86" s="320" t="s">
        <v>203</v>
      </c>
      <c r="AG86" s="476"/>
      <c r="AH86"/>
      <c r="AI86" s="77" t="s">
        <v>226</v>
      </c>
      <c r="AJ86" s="236">
        <f>AJ74*AJ75/24+AJ79+AJ82</f>
        <v>365</v>
      </c>
      <c r="AK86"/>
      <c r="AL86" s="97" t="s">
        <v>62</v>
      </c>
      <c r="AM86" s="85" t="s">
        <v>66</v>
      </c>
      <c r="AN86" s="176">
        <f>(AM76)*0.67*AJ72*$R$10/100</f>
        <v>0</v>
      </c>
      <c r="AO86" s="176"/>
      <c r="AP86" s="141" t="s">
        <v>146</v>
      </c>
      <c r="AQ86" s="65"/>
      <c r="AR86" s="474" t="s">
        <v>203</v>
      </c>
    </row>
    <row r="87" spans="21:44" x14ac:dyDescent="0.25">
      <c r="U87" s="275"/>
      <c r="Z87" s="177"/>
      <c r="AA87" s="85"/>
      <c r="AB87" s="85"/>
      <c r="AC87" s="85"/>
      <c r="AD87" s="141"/>
      <c r="AE87" s="65"/>
      <c r="AF87" s="320" t="s">
        <v>203</v>
      </c>
      <c r="AG87" s="476"/>
      <c r="AH87"/>
      <c r="AI87"/>
      <c r="AJ87"/>
      <c r="AK87"/>
      <c r="AL87" s="177"/>
      <c r="AM87" s="85"/>
      <c r="AN87" s="85"/>
      <c r="AO87" s="85"/>
      <c r="AP87" s="141"/>
      <c r="AQ87" s="65"/>
      <c r="AR87" s="474" t="s">
        <v>203</v>
      </c>
    </row>
    <row r="88" spans="21:44" x14ac:dyDescent="0.25">
      <c r="U88" s="275"/>
      <c r="X88" s="244"/>
      <c r="Z88" s="96" t="s">
        <v>188</v>
      </c>
      <c r="AA88" s="85"/>
      <c r="AB88" s="85" t="s">
        <v>180</v>
      </c>
      <c r="AC88" s="85" t="s">
        <v>182</v>
      </c>
      <c r="AD88" s="141"/>
      <c r="AE88" s="65"/>
      <c r="AF88" s="320" t="s">
        <v>203</v>
      </c>
      <c r="AG88" s="476"/>
      <c r="AH88"/>
      <c r="AI88"/>
      <c r="AJ88" s="244"/>
      <c r="AK88"/>
      <c r="AL88" s="96" t="s">
        <v>188</v>
      </c>
      <c r="AM88" s="85"/>
      <c r="AN88" s="85" t="s">
        <v>180</v>
      </c>
      <c r="AO88" s="85" t="s">
        <v>182</v>
      </c>
      <c r="AP88" s="141"/>
      <c r="AQ88" s="65"/>
      <c r="AR88" s="474" t="s">
        <v>203</v>
      </c>
    </row>
    <row r="89" spans="21:44" x14ac:dyDescent="0.25">
      <c r="U89" s="275"/>
      <c r="X89" s="245"/>
      <c r="Z89" s="96" t="s">
        <v>227</v>
      </c>
      <c r="AA89" s="85" t="s">
        <v>66</v>
      </c>
      <c r="AB89" s="176" t="e">
        <f>(AA78+AA79*X79/365)/365*0.67*X72*$R$6/100*$R$17</f>
        <v>#N/A</v>
      </c>
      <c r="AC89" s="176" t="e">
        <f>(AA78+AA79*X79/365)/365*0.67*X72*$R$6/100*(365-$R$17)</f>
        <v>#N/A</v>
      </c>
      <c r="AD89" s="141"/>
      <c r="AE89" s="65"/>
      <c r="AF89" s="320" t="s">
        <v>203</v>
      </c>
      <c r="AG89" s="476"/>
      <c r="AH89"/>
      <c r="AI89"/>
      <c r="AJ89" s="245"/>
      <c r="AK89"/>
      <c r="AL89" s="96" t="s">
        <v>227</v>
      </c>
      <c r="AM89" s="85" t="s">
        <v>66</v>
      </c>
      <c r="AN89" s="176" t="e">
        <f>(AM78+AM79*AJ79/365)/365*0.67*AJ72*$R$6/100*$R$17</f>
        <v>#N/A</v>
      </c>
      <c r="AO89" s="176" t="e">
        <f>(AM78+AM79*AJ79/365)/365*0.67*AJ72*$R$6/100*(365-$R$17)</f>
        <v>#N/A</v>
      </c>
      <c r="AP89" s="141"/>
      <c r="AQ89" s="65"/>
      <c r="AR89" s="474" t="s">
        <v>203</v>
      </c>
    </row>
    <row r="90" spans="21:44" x14ac:dyDescent="0.25">
      <c r="U90" s="275"/>
      <c r="X90" s="245"/>
      <c r="Z90" s="96" t="s">
        <v>228</v>
      </c>
      <c r="AA90" s="85" t="s">
        <v>66</v>
      </c>
      <c r="AB90" s="176" t="e">
        <f>(AA81+AA82*X82/365)/365*0.67*X72*$R$6/100*$R$17</f>
        <v>#N/A</v>
      </c>
      <c r="AC90" s="176" t="e">
        <f>(AA81+AA82*X82/365)/365*0.67*X72*$R$6/100*(365-$R$17)</f>
        <v>#N/A</v>
      </c>
      <c r="AD90" s="141" t="s">
        <v>202</v>
      </c>
      <c r="AE90" s="65"/>
      <c r="AF90" s="320" t="s">
        <v>203</v>
      </c>
      <c r="AG90" s="476"/>
      <c r="AH90"/>
      <c r="AI90"/>
      <c r="AJ90" s="245"/>
      <c r="AK90"/>
      <c r="AL90" s="96" t="s">
        <v>228</v>
      </c>
      <c r="AM90" s="85" t="s">
        <v>66</v>
      </c>
      <c r="AN90" s="176" t="e">
        <f>(AM81+AM82*AJ82/365)/365*0.67*AJ72*$R$6/100*$R$17</f>
        <v>#N/A</v>
      </c>
      <c r="AO90" s="176" t="e">
        <f>(AM81+AM82*AJ82/365)/365*0.67*AJ72*$R$6/100*(365-$R$17)</f>
        <v>#N/A</v>
      </c>
      <c r="AP90" s="141" t="s">
        <v>202</v>
      </c>
      <c r="AQ90" s="65"/>
      <c r="AR90" s="474" t="s">
        <v>203</v>
      </c>
    </row>
    <row r="91" spans="21:44" x14ac:dyDescent="0.25">
      <c r="U91" s="275"/>
      <c r="Z91" s="96" t="s">
        <v>230</v>
      </c>
      <c r="AA91" s="85" t="s">
        <v>66</v>
      </c>
      <c r="AB91" s="176" t="e">
        <f>(AA78+AA79*X79/365)/365*0.67*X72*$R$6/100*$R$17*(1+$R$7)</f>
        <v>#N/A</v>
      </c>
      <c r="AC91" s="176" t="e">
        <f>(AA78+AA79*X79/365)/365*0.67*X72*$R$6/100*(365-$R$17)*(1+$R$7)</f>
        <v>#N/A</v>
      </c>
      <c r="AD91" s="141"/>
      <c r="AE91" s="65"/>
      <c r="AF91" s="320" t="s">
        <v>203</v>
      </c>
      <c r="AG91" s="476"/>
      <c r="AH91"/>
      <c r="AI91"/>
      <c r="AJ91"/>
      <c r="AK91"/>
      <c r="AL91" s="96" t="s">
        <v>230</v>
      </c>
      <c r="AM91" s="85" t="s">
        <v>66</v>
      </c>
      <c r="AN91" s="176" t="e">
        <f>(AM78+AM79*AJ79/365)/365*0.67*AJ72*$R$6/100*$R$17*(1+$R$7)</f>
        <v>#N/A</v>
      </c>
      <c r="AO91" s="176" t="e">
        <f>(AM78+AM79*AJ79/365)/365*0.67*AJ72*$R$6/100*(365-$R$17)*(1+$R$7)</f>
        <v>#N/A</v>
      </c>
      <c r="AP91" s="141"/>
      <c r="AQ91" s="65"/>
      <c r="AR91" s="474" t="s">
        <v>203</v>
      </c>
    </row>
    <row r="92" spans="21:44" x14ac:dyDescent="0.25">
      <c r="U92" s="275"/>
      <c r="Z92" s="96" t="s">
        <v>229</v>
      </c>
      <c r="AA92" s="85" t="s">
        <v>66</v>
      </c>
      <c r="AB92" s="176" t="e">
        <f>(AA81+AA82*X82/365)/365*0.67*X72*$R$6/100*$R$17*(1+$R$7)</f>
        <v>#N/A</v>
      </c>
      <c r="AC92" s="176" t="e">
        <f>(AA81+AA82*X82/365)/365*0.67*X72*$R$6/100*(365-$R$17)*(1+$R$7)</f>
        <v>#N/A</v>
      </c>
      <c r="AD92" s="141" t="s">
        <v>202</v>
      </c>
      <c r="AE92" s="65"/>
      <c r="AF92" s="320" t="s">
        <v>203</v>
      </c>
      <c r="AG92" s="476"/>
      <c r="AH92"/>
      <c r="AI92"/>
      <c r="AJ92"/>
      <c r="AK92"/>
      <c r="AL92" s="96" t="s">
        <v>229</v>
      </c>
      <c r="AM92" s="85" t="s">
        <v>66</v>
      </c>
      <c r="AN92" s="176" t="e">
        <f>(AM81+AM82*AJ82/365)/365*0.67*AJ72*$R$6/100*$R$17*(1+$R$7)</f>
        <v>#N/A</v>
      </c>
      <c r="AO92" s="176" t="e">
        <f>(AM81+AM82*AJ82/365)/365*0.67*AJ72*$R$6/100*(365-$R$17)*(1+$R$7)</f>
        <v>#N/A</v>
      </c>
      <c r="AP92" s="141" t="s">
        <v>202</v>
      </c>
      <c r="AQ92" s="65"/>
      <c r="AR92" s="474" t="s">
        <v>203</v>
      </c>
    </row>
    <row r="93" spans="21:44" x14ac:dyDescent="0.25">
      <c r="U93" s="275"/>
      <c r="Z93" s="96" t="s">
        <v>246</v>
      </c>
      <c r="AA93" s="85" t="s">
        <v>66</v>
      </c>
      <c r="AB93" s="258" t="e">
        <f>(AA78+AA79*X79/365)/365*0.67*X72*$R$6/100*$R$17*(1+$R$8*X84)</f>
        <v>#N/A</v>
      </c>
      <c r="AC93" s="258" t="e">
        <f>(AA78+AA79*X79/365)/365*0.67*X72*$R$6/100*(365-$R$17)*(1+$R$8*X84)</f>
        <v>#N/A</v>
      </c>
      <c r="AD93" s="141" t="s">
        <v>202</v>
      </c>
      <c r="AE93" s="65"/>
      <c r="AF93" s="320" t="s">
        <v>203</v>
      </c>
      <c r="AG93" s="476"/>
      <c r="AH93"/>
      <c r="AI93"/>
      <c r="AJ93"/>
      <c r="AK93"/>
      <c r="AL93" s="96" t="s">
        <v>246</v>
      </c>
      <c r="AM93" s="85" t="s">
        <v>66</v>
      </c>
      <c r="AN93" s="258" t="e">
        <f>(AM78+AM79*AJ79/365)/365*0.67*AJ72*$R$6/100*$R$17*(1+$R$8*AJ84)</f>
        <v>#N/A</v>
      </c>
      <c r="AO93" s="258" t="e">
        <f>(AM78+AM79*AJ79/365)/365*0.67*AJ72*$R$6/100*(365-$R$17)*(1+$R$8*AJ84)</f>
        <v>#N/A</v>
      </c>
      <c r="AP93" s="141" t="s">
        <v>202</v>
      </c>
      <c r="AQ93" s="65"/>
      <c r="AR93" s="474" t="s">
        <v>203</v>
      </c>
    </row>
    <row r="94" spans="21:44" x14ac:dyDescent="0.25">
      <c r="U94" s="275"/>
      <c r="Z94" s="96" t="s">
        <v>247</v>
      </c>
      <c r="AA94" s="85" t="s">
        <v>66</v>
      </c>
      <c r="AB94" s="202"/>
      <c r="AC94" s="202"/>
      <c r="AE94" s="65"/>
      <c r="AF94" s="320" t="s">
        <v>203</v>
      </c>
      <c r="AG94" s="476"/>
      <c r="AH94"/>
      <c r="AI94"/>
      <c r="AJ94"/>
      <c r="AK94"/>
      <c r="AL94" s="96" t="s">
        <v>247</v>
      </c>
      <c r="AM94" s="85" t="s">
        <v>66</v>
      </c>
      <c r="AN94" s="202"/>
      <c r="AO94" s="202"/>
      <c r="AP94" s="202"/>
      <c r="AQ94" s="65"/>
      <c r="AR94" s="474" t="s">
        <v>203</v>
      </c>
    </row>
    <row r="95" spans="21:44" x14ac:dyDescent="0.25">
      <c r="U95" s="275"/>
      <c r="Z95" s="96" t="s">
        <v>67</v>
      </c>
      <c r="AA95" s="85" t="s">
        <v>66</v>
      </c>
      <c r="AB95" s="176">
        <f>(_xlfn.AGGREGATE(9,6,AB78,AB79,AB81,AB82)/365)*0.67*X72*$R$9/100*$R$17</f>
        <v>7.2832467441246838</v>
      </c>
      <c r="AC95" s="176">
        <f>(_xlfn.AGGREGATE(9,6,AB78,AB79,AB81,AB82)/365)*0.67*X72*$R$9/100*(365-$R$17)</f>
        <v>7.2832467441246838</v>
      </c>
      <c r="AD95" s="141" t="s">
        <v>184</v>
      </c>
      <c r="AE95" s="65"/>
      <c r="AF95" s="320" t="s">
        <v>203</v>
      </c>
      <c r="AG95" s="476"/>
      <c r="AH95"/>
      <c r="AI95"/>
      <c r="AJ95"/>
      <c r="AK95"/>
      <c r="AL95" s="96" t="s">
        <v>67</v>
      </c>
      <c r="AM95" s="85" t="s">
        <v>66</v>
      </c>
      <c r="AN95" s="176">
        <f>(_xlfn.AGGREGATE(9,6,AN78,AN79,AN81,AN82)/365)*0.67*AJ72*$R$9/100*$R$17</f>
        <v>5.7290100333911615</v>
      </c>
      <c r="AO95" s="176">
        <f>(_xlfn.AGGREGATE(9,6,AN78,AN79,AN81,AN82)/365)*0.67*AJ72*$R$9/100*(365-$R$17)</f>
        <v>5.7290100333911615</v>
      </c>
      <c r="AP95" s="141" t="s">
        <v>184</v>
      </c>
      <c r="AQ95" s="65"/>
      <c r="AR95" s="474" t="s">
        <v>203</v>
      </c>
    </row>
    <row r="96" spans="21:44" x14ac:dyDescent="0.25">
      <c r="U96" s="275"/>
      <c r="Z96" s="21"/>
      <c r="AA96" s="5"/>
      <c r="AB96" s="5"/>
      <c r="AC96" s="5"/>
      <c r="AD96" s="204"/>
      <c r="AE96" s="125" t="s">
        <v>71</v>
      </c>
      <c r="AF96" s="320" t="s">
        <v>203</v>
      </c>
      <c r="AG96" s="476"/>
      <c r="AH96"/>
      <c r="AI96"/>
      <c r="AJ96"/>
      <c r="AK96"/>
      <c r="AL96" s="21"/>
      <c r="AM96" s="5"/>
      <c r="AN96" s="5"/>
      <c r="AO96" s="5"/>
      <c r="AP96" s="204"/>
      <c r="AQ96" s="125" t="s">
        <v>71</v>
      </c>
      <c r="AR96" s="474" t="s">
        <v>203</v>
      </c>
    </row>
    <row r="97" spans="21:44" x14ac:dyDescent="0.25">
      <c r="U97" s="275"/>
      <c r="Z97" s="97" t="s">
        <v>68</v>
      </c>
      <c r="AA97" s="85" t="s">
        <v>66</v>
      </c>
      <c r="AB97" s="93">
        <f xml:space="preserve"> _xlfn.AGGREGATE(9, 6, AB95:AC95, AB89:AC90,AB86)</f>
        <v>14.566493488249368</v>
      </c>
      <c r="AC97" s="176"/>
      <c r="AD97" s="141" t="s">
        <v>118</v>
      </c>
      <c r="AE97" s="65"/>
      <c r="AF97" s="320" t="s">
        <v>203</v>
      </c>
      <c r="AG97" s="476"/>
      <c r="AH97"/>
      <c r="AI97"/>
      <c r="AJ97"/>
      <c r="AK97"/>
      <c r="AL97" s="97" t="s">
        <v>68</v>
      </c>
      <c r="AM97" s="85" t="s">
        <v>66</v>
      </c>
      <c r="AN97" s="93">
        <f xml:space="preserve"> _xlfn.AGGREGATE(9, 6, AN95:AO95, AN89:AO90,AN86)</f>
        <v>11.458020066782323</v>
      </c>
      <c r="AO97" s="176"/>
      <c r="AP97" s="141" t="s">
        <v>118</v>
      </c>
      <c r="AQ97" s="65"/>
      <c r="AR97" s="474" t="s">
        <v>203</v>
      </c>
    </row>
    <row r="98" spans="21:44" x14ac:dyDescent="0.25">
      <c r="U98" s="275"/>
      <c r="Z98" s="97" t="s">
        <v>248</v>
      </c>
      <c r="AA98" s="85" t="s">
        <v>66</v>
      </c>
      <c r="AB98" s="259">
        <f xml:space="preserve"> _xlfn.AGGREGATE(9, 6, AB95:AC95, AB93:AC94,AB86,AB90:AC90)</f>
        <v>14.566493488249368</v>
      </c>
      <c r="AC98" s="85"/>
      <c r="AD98" s="141"/>
      <c r="AE98" s="65"/>
      <c r="AF98" s="320" t="s">
        <v>203</v>
      </c>
      <c r="AG98" s="476"/>
      <c r="AH98"/>
      <c r="AI98"/>
      <c r="AJ98"/>
      <c r="AK98"/>
      <c r="AL98" s="97" t="s">
        <v>248</v>
      </c>
      <c r="AM98" s="85" t="s">
        <v>66</v>
      </c>
      <c r="AN98" s="259">
        <f xml:space="preserve"> _xlfn.AGGREGATE(9, 6, AN95:AO95, AN93:AO94,AN86,AN90:AO90)</f>
        <v>11.458020066782323</v>
      </c>
      <c r="AO98" s="85"/>
      <c r="AP98" s="141"/>
      <c r="AQ98" s="65"/>
      <c r="AR98" s="474" t="s">
        <v>203</v>
      </c>
    </row>
    <row r="99" spans="21:44" x14ac:dyDescent="0.25">
      <c r="U99" s="275"/>
      <c r="Z99" s="54"/>
      <c r="AA99" s="55" t="s">
        <v>238</v>
      </c>
      <c r="AB99" s="14" t="s">
        <v>381</v>
      </c>
      <c r="AC99" s="15" t="s">
        <v>382</v>
      </c>
      <c r="AD99" s="141"/>
      <c r="AE99" s="65"/>
      <c r="AF99" s="320" t="s">
        <v>203</v>
      </c>
      <c r="AG99" s="476"/>
      <c r="AH99"/>
      <c r="AI99"/>
      <c r="AJ99"/>
      <c r="AK99"/>
      <c r="AL99" s="54"/>
      <c r="AM99" s="55" t="s">
        <v>238</v>
      </c>
      <c r="AN99" s="14" t="s">
        <v>381</v>
      </c>
      <c r="AO99" s="15" t="s">
        <v>382</v>
      </c>
      <c r="AP99" s="141"/>
      <c r="AQ99" s="65"/>
      <c r="AR99" s="474" t="s">
        <v>203</v>
      </c>
    </row>
    <row r="100" spans="21:44" x14ac:dyDescent="0.25">
      <c r="U100" s="275"/>
      <c r="Z100" s="52" t="s">
        <v>421</v>
      </c>
      <c r="AA100" s="333">
        <f>AB86</f>
        <v>0</v>
      </c>
      <c r="AB100" s="333">
        <f xml:space="preserve"> _xlfn.AGGREGATE(9, 6, AB95, AB93:AB94,AB90)</f>
        <v>7.2832467441246838</v>
      </c>
      <c r="AC100" s="334">
        <f xml:space="preserve"> _xlfn.AGGREGATE(9, 6, AC95, AC93:AC94,AC90)</f>
        <v>7.2832467441246838</v>
      </c>
      <c r="AD100" s="141"/>
      <c r="AE100" s="65"/>
      <c r="AF100" s="320" t="s">
        <v>203</v>
      </c>
      <c r="AG100" s="476"/>
      <c r="AH100"/>
      <c r="AI100"/>
      <c r="AJ100"/>
      <c r="AK100"/>
      <c r="AL100" s="52" t="s">
        <v>421</v>
      </c>
      <c r="AM100" s="333">
        <f>AN86</f>
        <v>0</v>
      </c>
      <c r="AN100" s="333">
        <f xml:space="preserve"> _xlfn.AGGREGATE(9, 6, AN95, AN93:AN94,AN90)</f>
        <v>5.7290100333911615</v>
      </c>
      <c r="AO100" s="334">
        <f xml:space="preserve"> _xlfn.AGGREGATE(9, 6, AO95, AO93:AO94,AO90)</f>
        <v>5.7290100333911615</v>
      </c>
      <c r="AP100" s="141"/>
      <c r="AQ100" s="65"/>
      <c r="AR100" s="474" t="s">
        <v>203</v>
      </c>
    </row>
    <row r="101" spans="21:44" x14ac:dyDescent="0.25">
      <c r="U101" s="275"/>
      <c r="Z101" s="97"/>
      <c r="AA101" s="85"/>
      <c r="AB101" s="85"/>
      <c r="AC101" s="85"/>
      <c r="AD101" s="141"/>
      <c r="AE101" s="65"/>
      <c r="AF101" s="320" t="s">
        <v>203</v>
      </c>
      <c r="AG101" s="476"/>
      <c r="AH101"/>
      <c r="AI101"/>
      <c r="AJ101"/>
      <c r="AK101"/>
      <c r="AL101" s="97"/>
      <c r="AM101" s="85"/>
      <c r="AN101" s="85"/>
      <c r="AO101" s="85"/>
      <c r="AP101" s="141"/>
      <c r="AQ101" s="65"/>
      <c r="AR101" s="474" t="s">
        <v>203</v>
      </c>
    </row>
    <row r="102" spans="21:44" x14ac:dyDescent="0.25">
      <c r="U102" s="275"/>
      <c r="Z102" s="96" t="s">
        <v>181</v>
      </c>
      <c r="AA102" s="85"/>
      <c r="AB102" s="176"/>
      <c r="AC102" s="176"/>
      <c r="AD102" s="141"/>
      <c r="AE102" s="65"/>
      <c r="AF102" s="320" t="s">
        <v>203</v>
      </c>
      <c r="AG102" s="476"/>
      <c r="AH102"/>
      <c r="AI102"/>
      <c r="AJ102"/>
      <c r="AK102"/>
      <c r="AL102" s="96" t="s">
        <v>181</v>
      </c>
      <c r="AM102" s="85"/>
      <c r="AN102" s="176"/>
      <c r="AO102" s="176"/>
      <c r="AP102" s="141"/>
      <c r="AQ102" s="65"/>
      <c r="AR102" s="474" t="s">
        <v>203</v>
      </c>
    </row>
    <row r="103" spans="21:44" x14ac:dyDescent="0.25">
      <c r="U103" s="275"/>
      <c r="Z103" s="96" t="s">
        <v>185</v>
      </c>
      <c r="AA103" s="84" t="s">
        <v>13</v>
      </c>
      <c r="AB103" s="176">
        <f>AB97*$R$14</f>
        <v>406.40516832215735</v>
      </c>
      <c r="AC103" s="176"/>
      <c r="AD103" s="141" t="s">
        <v>117</v>
      </c>
      <c r="AE103" s="65"/>
      <c r="AF103" s="320" t="s">
        <v>203</v>
      </c>
      <c r="AG103" s="476"/>
      <c r="AH103"/>
      <c r="AI103"/>
      <c r="AJ103"/>
      <c r="AK103"/>
      <c r="AL103" s="96" t="s">
        <v>185</v>
      </c>
      <c r="AM103" s="84" t="s">
        <v>13</v>
      </c>
      <c r="AN103" s="176">
        <f>AN97*$R$14</f>
        <v>319.67875986322679</v>
      </c>
      <c r="AO103" s="176"/>
      <c r="AP103" s="141" t="s">
        <v>117</v>
      </c>
      <c r="AQ103" s="65"/>
      <c r="AR103" s="474" t="s">
        <v>203</v>
      </c>
    </row>
    <row r="104" spans="21:44" x14ac:dyDescent="0.25">
      <c r="U104" s="275"/>
      <c r="Z104" s="96" t="s">
        <v>249</v>
      </c>
      <c r="AA104" s="84" t="s">
        <v>13</v>
      </c>
      <c r="AB104" s="258">
        <f>AB98*$R$14</f>
        <v>406.40516832215735</v>
      </c>
      <c r="AC104" s="176"/>
      <c r="AD104" s="141" t="s">
        <v>117</v>
      </c>
      <c r="AE104" s="65"/>
      <c r="AF104" s="320" t="s">
        <v>203</v>
      </c>
      <c r="AG104" s="476"/>
      <c r="AH104"/>
      <c r="AI104"/>
      <c r="AJ104"/>
      <c r="AK104"/>
      <c r="AL104" s="96" t="s">
        <v>249</v>
      </c>
      <c r="AM104" s="84" t="s">
        <v>13</v>
      </c>
      <c r="AN104" s="258">
        <f>AN98*$R$14</f>
        <v>319.67875986322679</v>
      </c>
      <c r="AO104" s="176"/>
      <c r="AP104" s="141" t="s">
        <v>117</v>
      </c>
      <c r="AQ104" s="65"/>
      <c r="AR104" s="474" t="s">
        <v>203</v>
      </c>
    </row>
    <row r="105" spans="21:44" x14ac:dyDescent="0.25">
      <c r="U105" s="275"/>
      <c r="Z105" s="25"/>
      <c r="AA105" s="55" t="s">
        <v>238</v>
      </c>
      <c r="AB105" s="14" t="s">
        <v>381</v>
      </c>
      <c r="AC105" s="15" t="s">
        <v>382</v>
      </c>
      <c r="AE105" s="18"/>
      <c r="AF105" s="320" t="s">
        <v>203</v>
      </c>
      <c r="AG105" s="476"/>
      <c r="AH105"/>
      <c r="AI105"/>
      <c r="AJ105"/>
      <c r="AK105"/>
      <c r="AL105" s="25"/>
      <c r="AM105" s="55" t="s">
        <v>238</v>
      </c>
      <c r="AN105" s="14" t="s">
        <v>381</v>
      </c>
      <c r="AO105" s="15" t="s">
        <v>382</v>
      </c>
      <c r="AP105" s="202"/>
      <c r="AQ105" s="18"/>
      <c r="AR105" s="474" t="s">
        <v>203</v>
      </c>
    </row>
    <row r="106" spans="21:44" x14ac:dyDescent="0.25">
      <c r="U106" s="275"/>
      <c r="Z106" s="29" t="s">
        <v>422</v>
      </c>
      <c r="AA106" s="333">
        <f>AA100*$R$14</f>
        <v>0</v>
      </c>
      <c r="AB106" s="333">
        <f>AB100*$R$14</f>
        <v>203.20258416107868</v>
      </c>
      <c r="AC106" s="334">
        <f>AC100*$R$14</f>
        <v>203.20258416107868</v>
      </c>
      <c r="AD106" s="335" t="s">
        <v>117</v>
      </c>
      <c r="AE106" s="23"/>
      <c r="AF106" s="320" t="s">
        <v>203</v>
      </c>
      <c r="AG106" s="476"/>
      <c r="AH106"/>
      <c r="AI106"/>
      <c r="AJ106"/>
      <c r="AK106"/>
      <c r="AL106" s="29" t="s">
        <v>422</v>
      </c>
      <c r="AM106" s="333">
        <f>AM100*$R$14</f>
        <v>0</v>
      </c>
      <c r="AN106" s="333">
        <f>AN100*$R$14</f>
        <v>159.83937993161339</v>
      </c>
      <c r="AO106" s="334">
        <f>AO100*$R$14</f>
        <v>159.83937993161339</v>
      </c>
      <c r="AP106" s="335" t="s">
        <v>117</v>
      </c>
      <c r="AQ106" s="23"/>
      <c r="AR106" s="474" t="s">
        <v>203</v>
      </c>
    </row>
    <row r="107" spans="21:44" x14ac:dyDescent="0.25">
      <c r="Z107" s="5"/>
      <c r="AA107" s="5"/>
      <c r="AB107" s="5"/>
      <c r="AC107" s="5"/>
      <c r="AD107" s="204"/>
      <c r="AE107" s="5"/>
      <c r="AF107" s="320" t="s">
        <v>203</v>
      </c>
      <c r="AG107"/>
      <c r="AH107"/>
      <c r="AI107"/>
      <c r="AJ107"/>
      <c r="AK107"/>
      <c r="AL107" s="5"/>
      <c r="AM107" s="5"/>
      <c r="AN107" s="5"/>
      <c r="AO107" s="5"/>
      <c r="AP107" s="204"/>
      <c r="AQ107" s="5"/>
      <c r="AR107" s="474" t="s">
        <v>203</v>
      </c>
    </row>
    <row r="108" spans="21:44" x14ac:dyDescent="0.25">
      <c r="U108" s="275"/>
      <c r="V108" s="670" t="s">
        <v>339</v>
      </c>
      <c r="AF108" s="320" t="s">
        <v>203</v>
      </c>
      <c r="AG108" s="476"/>
      <c r="AH108" s="670" t="s">
        <v>460</v>
      </c>
      <c r="AI108"/>
      <c r="AJ108"/>
      <c r="AK108"/>
      <c r="AL108"/>
      <c r="AM108"/>
      <c r="AN108"/>
      <c r="AO108"/>
      <c r="AP108" s="202"/>
      <c r="AQ108"/>
      <c r="AR108" s="474" t="s">
        <v>203</v>
      </c>
    </row>
    <row r="109" spans="21:44" x14ac:dyDescent="0.25">
      <c r="U109" s="275"/>
      <c r="W109" s="670" t="s">
        <v>65</v>
      </c>
      <c r="X109">
        <f>INDEX($Q$2:$S$3, 2,MATCH(W109,$Q$2:$S$2,0))</f>
        <v>0.18</v>
      </c>
      <c r="Y109" t="s">
        <v>63</v>
      </c>
      <c r="Z109" s="103"/>
      <c r="AA109" s="191"/>
      <c r="AB109" s="191"/>
      <c r="AC109" s="191"/>
      <c r="AD109" s="237"/>
      <c r="AE109" s="238"/>
      <c r="AF109" s="320" t="s">
        <v>203</v>
      </c>
      <c r="AG109" s="476"/>
      <c r="AH109"/>
      <c r="AI109" s="670" t="s">
        <v>65</v>
      </c>
      <c r="AJ109">
        <f>INDEX($Q$2:$S$3, 2,MATCH(AI109,$Q$2:$S$2,0))</f>
        <v>0.18</v>
      </c>
      <c r="AK109" t="s">
        <v>63</v>
      </c>
      <c r="AL109" s="103"/>
      <c r="AM109" s="191"/>
      <c r="AN109" s="191"/>
      <c r="AO109" s="191"/>
      <c r="AP109" s="237"/>
      <c r="AQ109" s="238"/>
      <c r="AR109" s="474" t="s">
        <v>203</v>
      </c>
    </row>
    <row r="110" spans="21:44" x14ac:dyDescent="0.25">
      <c r="U110" s="275"/>
      <c r="W110" s="108" t="s">
        <v>93</v>
      </c>
      <c r="X110" s="109"/>
      <c r="Z110" s="239" t="s">
        <v>231</v>
      </c>
      <c r="AA110" s="194"/>
      <c r="AB110" s="194"/>
      <c r="AC110" s="194"/>
      <c r="AD110" s="240"/>
      <c r="AE110" s="241"/>
      <c r="AF110" s="320" t="s">
        <v>203</v>
      </c>
      <c r="AG110" s="476"/>
      <c r="AH110"/>
      <c r="AI110" s="108" t="s">
        <v>93</v>
      </c>
      <c r="AJ110" s="109"/>
      <c r="AK110"/>
      <c r="AL110" s="239" t="s">
        <v>231</v>
      </c>
      <c r="AM110" s="194"/>
      <c r="AN110" s="194"/>
      <c r="AO110" s="194"/>
      <c r="AP110" s="240"/>
      <c r="AQ110" s="241"/>
      <c r="AR110" s="474" t="s">
        <v>203</v>
      </c>
    </row>
    <row r="111" spans="21:44" x14ac:dyDescent="0.25">
      <c r="U111" s="275"/>
      <c r="W111" s="110" t="s">
        <v>81</v>
      </c>
      <c r="X111" s="665">
        <v>0</v>
      </c>
      <c r="Z111" s="126"/>
      <c r="AA111" s="192"/>
      <c r="AB111" s="192"/>
      <c r="AC111" s="192"/>
      <c r="AD111" s="242"/>
      <c r="AE111" s="243"/>
      <c r="AF111" s="320" t="s">
        <v>203</v>
      </c>
      <c r="AG111" s="476"/>
      <c r="AH111"/>
      <c r="AI111" s="110" t="s">
        <v>81</v>
      </c>
      <c r="AJ111" s="665">
        <v>0</v>
      </c>
      <c r="AK111"/>
      <c r="AL111" s="126"/>
      <c r="AM111" s="192"/>
      <c r="AN111" s="192"/>
      <c r="AO111" s="192"/>
      <c r="AP111" s="242"/>
      <c r="AQ111" s="243"/>
      <c r="AR111" s="474" t="s">
        <v>203</v>
      </c>
    </row>
    <row r="112" spans="21:44" x14ac:dyDescent="0.25">
      <c r="U112" s="275"/>
      <c r="W112" s="228" t="s">
        <v>82</v>
      </c>
      <c r="X112" s="666">
        <v>0</v>
      </c>
      <c r="Z112" s="127"/>
      <c r="AA112" s="54" t="s">
        <v>5</v>
      </c>
      <c r="AB112" s="187" t="s">
        <v>6</v>
      </c>
      <c r="AC112" s="128"/>
      <c r="AD112" s="203"/>
      <c r="AE112" s="124"/>
      <c r="AF112" s="320" t="s">
        <v>203</v>
      </c>
      <c r="AG112" s="476"/>
      <c r="AH112"/>
      <c r="AI112" s="228" t="s">
        <v>82</v>
      </c>
      <c r="AJ112" s="666">
        <v>0</v>
      </c>
      <c r="AK112"/>
      <c r="AL112" s="127"/>
      <c r="AM112" s="54" t="s">
        <v>5</v>
      </c>
      <c r="AN112" s="187" t="s">
        <v>6</v>
      </c>
      <c r="AO112" s="128"/>
      <c r="AP112" s="203"/>
      <c r="AQ112" s="124"/>
      <c r="AR112" s="474" t="s">
        <v>203</v>
      </c>
    </row>
    <row r="113" spans="21:44" x14ac:dyDescent="0.25">
      <c r="U113" s="275"/>
      <c r="Z113" s="96" t="s">
        <v>145</v>
      </c>
      <c r="AA113" s="183">
        <f>INDEX(Normtal!$Q$3:$AC$551,MATCH('CH4_Gylle_Stald&amp;Lager'!V108,Normtal!$Q$3:$Q$551,0),9)*(X111/365)*(X112/24)</f>
        <v>0</v>
      </c>
      <c r="AB113" s="78"/>
      <c r="AC113" s="44"/>
      <c r="AD113" s="204" t="s">
        <v>147</v>
      </c>
      <c r="AE113" s="65"/>
      <c r="AF113" s="320" t="s">
        <v>203</v>
      </c>
      <c r="AG113" s="476"/>
      <c r="AH113"/>
      <c r="AI113"/>
      <c r="AJ113"/>
      <c r="AK113"/>
      <c r="AL113" s="96" t="s">
        <v>145</v>
      </c>
      <c r="AM113" s="183">
        <f>INDEX(Normtal!$Q$3:$AC$551,MATCH('CH4_Gylle_Stald&amp;Lager'!AH108,Normtal!$Q$3:$Q$551,0),9)*(AJ111/365)*(AJ112/24)</f>
        <v>0</v>
      </c>
      <c r="AN113" s="78"/>
      <c r="AO113" s="44"/>
      <c r="AP113" s="204" t="s">
        <v>147</v>
      </c>
      <c r="AQ113" s="65"/>
      <c r="AR113" s="474" t="s">
        <v>203</v>
      </c>
    </row>
    <row r="114" spans="21:44" x14ac:dyDescent="0.25">
      <c r="U114" s="275"/>
      <c r="V114" s="45"/>
      <c r="W114" s="229" t="s">
        <v>221</v>
      </c>
      <c r="X114" s="230"/>
      <c r="Z114" s="96"/>
      <c r="AA114" s="667"/>
      <c r="AB114" s="220" t="s">
        <v>210</v>
      </c>
      <c r="AC114" s="5"/>
      <c r="AD114" s="226"/>
      <c r="AE114" s="65"/>
      <c r="AF114" s="320" t="s">
        <v>203</v>
      </c>
      <c r="AG114" s="476"/>
      <c r="AH114" s="45"/>
      <c r="AI114" s="229" t="s">
        <v>221</v>
      </c>
      <c r="AJ114" s="230"/>
      <c r="AK114"/>
      <c r="AL114" s="96"/>
      <c r="AM114" s="667"/>
      <c r="AN114" s="220" t="s">
        <v>210</v>
      </c>
      <c r="AO114" s="5"/>
      <c r="AP114" s="226"/>
      <c r="AQ114" s="65"/>
      <c r="AR114" s="474" t="s">
        <v>203</v>
      </c>
    </row>
    <row r="115" spans="21:44" x14ac:dyDescent="0.25">
      <c r="U115" s="275"/>
      <c r="V115" s="5"/>
      <c r="W115" s="231" t="s">
        <v>224</v>
      </c>
      <c r="X115" s="669">
        <v>0</v>
      </c>
      <c r="Z115" s="97" t="s">
        <v>115</v>
      </c>
      <c r="AA115" s="183" t="e">
        <f>INDEX(Normtal!$Q$3:$AC$551,MATCH('CH4_Gylle_Stald&amp;Lager'!AA114,Normtal!$AA$3:$AA$551,0),9)*$X116/365</f>
        <v>#N/A</v>
      </c>
      <c r="AB115" s="183" t="e">
        <f>INDEX(Normtal!$Q$3:$AC$551,MATCH('CH4_Gylle_Stald&amp;Lager'!AB114,Normtal!$AA$3:$AA$551,0),9)*$X116/365</f>
        <v>#N/A</v>
      </c>
      <c r="AC115" s="44"/>
      <c r="AD115" s="204"/>
      <c r="AE115" s="65"/>
      <c r="AF115" s="320" t="s">
        <v>203</v>
      </c>
      <c r="AG115" s="476"/>
      <c r="AH115" s="5"/>
      <c r="AI115" s="231" t="s">
        <v>224</v>
      </c>
      <c r="AJ115" s="669">
        <v>0</v>
      </c>
      <c r="AK115"/>
      <c r="AL115" s="97" t="s">
        <v>115</v>
      </c>
      <c r="AM115" s="183" t="e">
        <f>INDEX(Normtal!$Q$3:$AC$551,MATCH('CH4_Gylle_Stald&amp;Lager'!AM114,Normtal!$AA$3:$AA$551,0),9)*$AJ116/365</f>
        <v>#N/A</v>
      </c>
      <c r="AN115" s="183" t="e">
        <f>INDEX(Normtal!$Q$3:$AC$551,MATCH('CH4_Gylle_Stald&amp;Lager'!AN114,Normtal!$AA$3:$AA$551,0),9)*$AJ116/365</f>
        <v>#N/A</v>
      </c>
      <c r="AO115" s="44"/>
      <c r="AP115" s="204"/>
      <c r="AQ115" s="65"/>
      <c r="AR115" s="474" t="s">
        <v>203</v>
      </c>
    </row>
    <row r="116" spans="21:44" x14ac:dyDescent="0.25">
      <c r="U116" s="275"/>
      <c r="W116" s="233" t="s">
        <v>223</v>
      </c>
      <c r="X116" s="583">
        <f>(365-X111*X112/24)*X115</f>
        <v>0</v>
      </c>
      <c r="Z116" s="97" t="s">
        <v>116</v>
      </c>
      <c r="AA116" s="183" t="e">
        <f>INDEX(Normtal!$Q$3:$AC$551,MATCH('CH4_Gylle_Stald&amp;Lager'!AA114,Normtal!$AA$3:$AA$551,0),7)*$X116/365</f>
        <v>#N/A</v>
      </c>
      <c r="AB116" s="183" t="e">
        <f>INDEX(Normtal!$Q$3:$AC$551,MATCH('CH4_Gylle_Stald&amp;Lager'!AB114,Normtal!$AA$3:$AA$551,0),7)*$X116/365</f>
        <v>#N/A</v>
      </c>
      <c r="AC116" s="44"/>
      <c r="AD116" s="204"/>
      <c r="AE116" s="65"/>
      <c r="AF116" s="320" t="s">
        <v>203</v>
      </c>
      <c r="AG116" s="476"/>
      <c r="AH116"/>
      <c r="AI116" s="233" t="s">
        <v>223</v>
      </c>
      <c r="AJ116" s="583">
        <f>(365-AJ111*AJ112/24)*AJ115</f>
        <v>0</v>
      </c>
      <c r="AK116"/>
      <c r="AL116" s="97" t="s">
        <v>116</v>
      </c>
      <c r="AM116" s="183" t="e">
        <f>INDEX(Normtal!$Q$3:$AC$551,MATCH('CH4_Gylle_Stald&amp;Lager'!AM114,Normtal!$AA$3:$AA$551,0),7)*$AJ116/365</f>
        <v>#N/A</v>
      </c>
      <c r="AN116" s="183" t="e">
        <f>INDEX(Normtal!$Q$3:$AC$551,MATCH('CH4_Gylle_Stald&amp;Lager'!AN114,Normtal!$AA$3:$AA$551,0),7)*$AJ116/365</f>
        <v>#N/A</v>
      </c>
      <c r="AO116" s="44"/>
      <c r="AP116" s="204"/>
      <c r="AQ116" s="65"/>
      <c r="AR116" s="474" t="s">
        <v>203</v>
      </c>
    </row>
    <row r="117" spans="21:44" x14ac:dyDescent="0.25">
      <c r="U117" s="275"/>
      <c r="V117" s="134"/>
      <c r="W117" s="229" t="s">
        <v>337</v>
      </c>
      <c r="X117" s="230"/>
      <c r="Z117" s="225"/>
      <c r="AA117" s="667"/>
      <c r="AB117" s="667" t="s">
        <v>344</v>
      </c>
      <c r="AC117" s="5"/>
      <c r="AD117" s="227"/>
      <c r="AE117" s="65"/>
      <c r="AF117" s="320" t="s">
        <v>203</v>
      </c>
      <c r="AG117" s="476"/>
      <c r="AH117" s="134"/>
      <c r="AI117" s="229" t="s">
        <v>337</v>
      </c>
      <c r="AJ117" s="230"/>
      <c r="AK117"/>
      <c r="AL117" s="225"/>
      <c r="AM117" s="667"/>
      <c r="AN117" s="667" t="s">
        <v>598</v>
      </c>
      <c r="AO117" s="5"/>
      <c r="AP117" s="227"/>
      <c r="AQ117" s="65"/>
      <c r="AR117" s="474" t="s">
        <v>203</v>
      </c>
    </row>
    <row r="118" spans="21:44" x14ac:dyDescent="0.25">
      <c r="U118" s="275"/>
      <c r="W118" s="231" t="s">
        <v>224</v>
      </c>
      <c r="X118" s="232">
        <f>1-X115</f>
        <v>1</v>
      </c>
      <c r="Z118" s="97" t="s">
        <v>115</v>
      </c>
      <c r="AA118" s="183" t="e">
        <f>INDEX(Normtal!$Q$3:$AC$551,MATCH('CH4_Gylle_Stald&amp;Lager'!AA117,Normtal!$AA$3:$AA$551,0),9)*$X119/365</f>
        <v>#N/A</v>
      </c>
      <c r="AB118" s="183">
        <f>INDEX(Normtal!$Q$3:$AC$551,MATCH('CH4_Gylle_Stald&amp;Lager'!AB117,Normtal!$AA$3:$AA$551,0),9)*$X119/365</f>
        <v>157.26728101265826</v>
      </c>
      <c r="AC118" s="44"/>
      <c r="AD118" s="204" t="s">
        <v>148</v>
      </c>
      <c r="AE118" s="65"/>
      <c r="AF118" s="320" t="s">
        <v>203</v>
      </c>
      <c r="AG118" s="476"/>
      <c r="AH118"/>
      <c r="AI118" s="231" t="s">
        <v>224</v>
      </c>
      <c r="AJ118" s="232">
        <f>1-AJ115</f>
        <v>1</v>
      </c>
      <c r="AK118"/>
      <c r="AL118" s="97" t="s">
        <v>115</v>
      </c>
      <c r="AM118" s="183" t="e">
        <f>INDEX(Normtal!$Q$3:$AC$551,MATCH('CH4_Gylle_Stald&amp;Lager'!AM117,Normtal!$AA$3:$AA$551,0),9)*$AJ119/365</f>
        <v>#N/A</v>
      </c>
      <c r="AN118" s="183">
        <f>INDEX(Normtal!$Q$3:$AC$551,MATCH('CH4_Gylle_Stald&amp;Lager'!AN117,Normtal!$AA$3:$AA$551,0),9)*$AJ119/365</f>
        <v>117.76000000000002</v>
      </c>
      <c r="AO118" s="44"/>
      <c r="AP118" s="204" t="s">
        <v>148</v>
      </c>
      <c r="AQ118" s="65"/>
      <c r="AR118" s="474" t="s">
        <v>203</v>
      </c>
    </row>
    <row r="119" spans="21:44" x14ac:dyDescent="0.25">
      <c r="U119" s="275"/>
      <c r="V119" s="5"/>
      <c r="W119" s="233" t="s">
        <v>81</v>
      </c>
      <c r="X119" s="234">
        <f>(365-X111*X112/24)*X118</f>
        <v>365</v>
      </c>
      <c r="Z119" s="97" t="s">
        <v>116</v>
      </c>
      <c r="AA119" s="222" t="e">
        <f>INDEX(Normtal!$Q$3:$AC$551,MATCH('CH4_Gylle_Stald&amp;Lager'!AA117,Normtal!$AA$3:$AA$551,0),7)*$X119/365</f>
        <v>#N/A</v>
      </c>
      <c r="AB119" s="222">
        <f>INDEX(Normtal!$Q$3:$AC$551,MATCH('CH4_Gylle_Stald&amp;Lager'!AB117,Normtal!$AA$3:$AA$551,0),7)*$X119/365</f>
        <v>442.10624999999999</v>
      </c>
      <c r="AC119" s="44"/>
      <c r="AD119" s="141"/>
      <c r="AE119" s="65"/>
      <c r="AF119" s="320" t="s">
        <v>203</v>
      </c>
      <c r="AG119" s="476"/>
      <c r="AH119" s="5"/>
      <c r="AI119" s="233" t="s">
        <v>81</v>
      </c>
      <c r="AJ119" s="234">
        <f>(365-AJ111*AJ112/24)*AJ118</f>
        <v>365</v>
      </c>
      <c r="AK119"/>
      <c r="AL119" s="97" t="s">
        <v>116</v>
      </c>
      <c r="AM119" s="222" t="e">
        <f>INDEX(Normtal!$Q$3:$AC$551,MATCH('CH4_Gylle_Stald&amp;Lager'!AM117,Normtal!$AA$3:$AA$551,0),7)*$AJ119/365</f>
        <v>#N/A</v>
      </c>
      <c r="AN119" s="222">
        <f>INDEX(Normtal!$Q$3:$AC$551,MATCH('CH4_Gylle_Stald&amp;Lager'!AN117,Normtal!$AA$3:$AA$551,0),7)*$AJ119/365</f>
        <v>353.685</v>
      </c>
      <c r="AO119" s="44"/>
      <c r="AP119" s="141"/>
      <c r="AQ119" s="65"/>
      <c r="AR119" s="474" t="s">
        <v>203</v>
      </c>
    </row>
    <row r="120" spans="21:44" x14ac:dyDescent="0.25">
      <c r="U120" s="275"/>
      <c r="Z120" s="235" t="s">
        <v>225</v>
      </c>
      <c r="AA120" s="90">
        <f>_xlfn.AGGREGATE(9,6,AA113:AB113,AA115:AB115,AA118:AB118)</f>
        <v>157.26728101265826</v>
      </c>
      <c r="AB120" s="267">
        <f>INDEX(Normtal!$Q$3:$AC$551,MATCH('CH4_Gylle_Stald&amp;Lager'!V108,Normtal!$Q$3:$Q$551,0),9)</f>
        <v>157.26728101265826</v>
      </c>
      <c r="AC120" s="44"/>
      <c r="AD120" s="141"/>
      <c r="AE120" s="65"/>
      <c r="AF120" s="320" t="s">
        <v>203</v>
      </c>
      <c r="AG120" s="476"/>
      <c r="AH120"/>
      <c r="AI120"/>
      <c r="AJ120"/>
      <c r="AK120"/>
      <c r="AL120" s="235" t="s">
        <v>225</v>
      </c>
      <c r="AM120" s="90">
        <f>_xlfn.AGGREGATE(9,6,AM113:AN113,AM115:AN115,AM118:AN118)</f>
        <v>117.76000000000002</v>
      </c>
      <c r="AN120" s="267">
        <f>INDEX(Normtal!$Q$3:$AC$551,MATCH('CH4_Gylle_Stald&amp;Lager'!AH108,Normtal!$Q$3:$Q$551,0),9)</f>
        <v>117.76000000000002</v>
      </c>
      <c r="AO120" s="44"/>
      <c r="AP120" s="141"/>
      <c r="AQ120" s="65"/>
      <c r="AR120" s="474" t="s">
        <v>203</v>
      </c>
    </row>
    <row r="121" spans="21:44" x14ac:dyDescent="0.25">
      <c r="U121" s="275"/>
      <c r="W121" s="257" t="s">
        <v>245</v>
      </c>
      <c r="X121" s="668">
        <v>0</v>
      </c>
      <c r="Z121" s="96"/>
      <c r="AA121" s="85"/>
      <c r="AB121" s="93"/>
      <c r="AC121" s="93"/>
      <c r="AD121" s="141"/>
      <c r="AE121" s="65"/>
      <c r="AF121" s="320" t="s">
        <v>203</v>
      </c>
      <c r="AG121" s="476"/>
      <c r="AH121"/>
      <c r="AI121" s="257" t="s">
        <v>245</v>
      </c>
      <c r="AJ121" s="668">
        <v>0</v>
      </c>
      <c r="AK121"/>
      <c r="AL121" s="96"/>
      <c r="AM121" s="85"/>
      <c r="AN121" s="93"/>
      <c r="AO121" s="93"/>
      <c r="AP121" s="141"/>
      <c r="AQ121" s="65"/>
      <c r="AR121" s="474" t="s">
        <v>203</v>
      </c>
    </row>
    <row r="122" spans="21:44" x14ac:dyDescent="0.25">
      <c r="U122" s="275"/>
      <c r="Z122" s="96" t="s">
        <v>84</v>
      </c>
      <c r="AA122" s="85"/>
      <c r="AB122" s="85"/>
      <c r="AC122" s="85"/>
      <c r="AD122" s="141"/>
      <c r="AE122" s="65"/>
      <c r="AF122" s="320" t="s">
        <v>203</v>
      </c>
      <c r="AG122" s="476"/>
      <c r="AH122"/>
      <c r="AI122"/>
      <c r="AJ122"/>
      <c r="AK122"/>
      <c r="AL122" s="96" t="s">
        <v>84</v>
      </c>
      <c r="AM122" s="85"/>
      <c r="AN122" s="85"/>
      <c r="AO122" s="85"/>
      <c r="AP122" s="141"/>
      <c r="AQ122" s="65"/>
      <c r="AR122" s="474" t="s">
        <v>203</v>
      </c>
    </row>
    <row r="123" spans="21:44" x14ac:dyDescent="0.25">
      <c r="U123" s="275"/>
      <c r="W123" s="77" t="s">
        <v>226</v>
      </c>
      <c r="X123" s="236">
        <f>X111*X112/24+X116+X119</f>
        <v>365</v>
      </c>
      <c r="Z123" s="97" t="s">
        <v>62</v>
      </c>
      <c r="AA123" s="85" t="s">
        <v>66</v>
      </c>
      <c r="AB123" s="176">
        <f>(AA113)*0.67*X109*$R$10/100</f>
        <v>0</v>
      </c>
      <c r="AC123" s="176"/>
      <c r="AD123" s="141" t="s">
        <v>146</v>
      </c>
      <c r="AE123" s="65"/>
      <c r="AF123" s="320" t="s">
        <v>203</v>
      </c>
      <c r="AG123" s="476"/>
      <c r="AH123"/>
      <c r="AI123" s="77" t="s">
        <v>226</v>
      </c>
      <c r="AJ123" s="236">
        <f>AJ111*AJ112/24+AJ116+AJ119</f>
        <v>365</v>
      </c>
      <c r="AK123"/>
      <c r="AL123" s="97" t="s">
        <v>62</v>
      </c>
      <c r="AM123" s="85" t="s">
        <v>66</v>
      </c>
      <c r="AN123" s="176">
        <f>(AM113)*0.67*AJ109*$R$10/100</f>
        <v>0</v>
      </c>
      <c r="AO123" s="176"/>
      <c r="AP123" s="141" t="s">
        <v>146</v>
      </c>
      <c r="AQ123" s="65"/>
      <c r="AR123" s="474" t="s">
        <v>203</v>
      </c>
    </row>
    <row r="124" spans="21:44" x14ac:dyDescent="0.25">
      <c r="U124" s="275"/>
      <c r="Z124" s="177"/>
      <c r="AA124" s="85"/>
      <c r="AB124" s="85"/>
      <c r="AC124" s="85"/>
      <c r="AD124" s="141"/>
      <c r="AE124" s="65"/>
      <c r="AF124" s="320" t="s">
        <v>203</v>
      </c>
      <c r="AG124" s="476"/>
      <c r="AH124"/>
      <c r="AI124"/>
      <c r="AJ124"/>
      <c r="AK124"/>
      <c r="AL124" s="177"/>
      <c r="AM124" s="85"/>
      <c r="AN124" s="85"/>
      <c r="AO124" s="85"/>
      <c r="AP124" s="141"/>
      <c r="AQ124" s="65"/>
      <c r="AR124" s="474" t="s">
        <v>203</v>
      </c>
    </row>
    <row r="125" spans="21:44" x14ac:dyDescent="0.25">
      <c r="U125" s="275"/>
      <c r="X125" s="244"/>
      <c r="Z125" s="96" t="s">
        <v>188</v>
      </c>
      <c r="AA125" s="85"/>
      <c r="AB125" s="85" t="s">
        <v>180</v>
      </c>
      <c r="AC125" s="85" t="s">
        <v>182</v>
      </c>
      <c r="AD125" s="141"/>
      <c r="AE125" s="65"/>
      <c r="AF125" s="320" t="s">
        <v>203</v>
      </c>
      <c r="AG125" s="476"/>
      <c r="AH125"/>
      <c r="AI125"/>
      <c r="AJ125" s="244"/>
      <c r="AK125"/>
      <c r="AL125" s="96" t="s">
        <v>188</v>
      </c>
      <c r="AM125" s="85"/>
      <c r="AN125" s="85" t="s">
        <v>180</v>
      </c>
      <c r="AO125" s="85" t="s">
        <v>182</v>
      </c>
      <c r="AP125" s="141"/>
      <c r="AQ125" s="65"/>
      <c r="AR125" s="474" t="s">
        <v>203</v>
      </c>
    </row>
    <row r="126" spans="21:44" x14ac:dyDescent="0.25">
      <c r="U126" s="275"/>
      <c r="X126" s="245"/>
      <c r="Z126" s="96" t="s">
        <v>227</v>
      </c>
      <c r="AA126" s="85" t="s">
        <v>66</v>
      </c>
      <c r="AB126" s="176" t="e">
        <f>(AA115+AA116*X116/365)/365*0.67*X109*$R$6/100*$R$17</f>
        <v>#N/A</v>
      </c>
      <c r="AC126" s="176" t="e">
        <f>(AA115+AA116*X116/365)/365*0.67*X109*$R$6/100*(365-$R$17)</f>
        <v>#N/A</v>
      </c>
      <c r="AD126" s="141"/>
      <c r="AE126" s="65"/>
      <c r="AF126" s="320" t="s">
        <v>203</v>
      </c>
      <c r="AG126" s="476"/>
      <c r="AH126"/>
      <c r="AI126"/>
      <c r="AJ126" s="245"/>
      <c r="AK126"/>
      <c r="AL126" s="96" t="s">
        <v>227</v>
      </c>
      <c r="AM126" s="85" t="s">
        <v>66</v>
      </c>
      <c r="AN126" s="176" t="e">
        <f>(AM115+AM116*AJ116/365)/365*0.67*AJ109*$R$6/100*$R$17</f>
        <v>#N/A</v>
      </c>
      <c r="AO126" s="176" t="e">
        <f>(AM115+AM116*AJ116/365)/365*0.67*AJ109*$R$6/100*(365-$R$17)</f>
        <v>#N/A</v>
      </c>
      <c r="AP126" s="141"/>
      <c r="AQ126" s="65"/>
      <c r="AR126" s="474" t="s">
        <v>203</v>
      </c>
    </row>
    <row r="127" spans="21:44" x14ac:dyDescent="0.25">
      <c r="U127" s="275"/>
      <c r="X127" s="245"/>
      <c r="Z127" s="96" t="s">
        <v>228</v>
      </c>
      <c r="AA127" s="85" t="s">
        <v>66</v>
      </c>
      <c r="AB127" s="176" t="e">
        <f>(AA118+AA119*X119/365)/365*0.67*X109*$R$6/100*$R$17</f>
        <v>#N/A</v>
      </c>
      <c r="AC127" s="176" t="e">
        <f>(AA118+AA119*X119/365)/365*0.67*X109*$R$6/100*(365-$R$17)</f>
        <v>#N/A</v>
      </c>
      <c r="AD127" s="141" t="s">
        <v>202</v>
      </c>
      <c r="AE127" s="65"/>
      <c r="AF127" s="320" t="s">
        <v>203</v>
      </c>
      <c r="AG127" s="476"/>
      <c r="AH127"/>
      <c r="AI127"/>
      <c r="AJ127" s="245"/>
      <c r="AK127"/>
      <c r="AL127" s="96" t="s">
        <v>228</v>
      </c>
      <c r="AM127" s="85" t="s">
        <v>66</v>
      </c>
      <c r="AN127" s="176" t="e">
        <f>(AM118+AM119*AJ119/365)/365*0.67*AJ109*$R$6/100*$R$17</f>
        <v>#N/A</v>
      </c>
      <c r="AO127" s="176" t="e">
        <f>(AM118+AM119*AJ119/365)/365*0.67*AJ109*$R$6/100*(365-$R$17)</f>
        <v>#N/A</v>
      </c>
      <c r="AP127" s="141" t="s">
        <v>202</v>
      </c>
      <c r="AQ127" s="65"/>
      <c r="AR127" s="474" t="s">
        <v>203</v>
      </c>
    </row>
    <row r="128" spans="21:44" x14ac:dyDescent="0.25">
      <c r="U128" s="275"/>
      <c r="Z128" s="96" t="s">
        <v>230</v>
      </c>
      <c r="AA128" s="85" t="s">
        <v>66</v>
      </c>
      <c r="AB128" s="176" t="e">
        <f>(AA115+AA116*X116/365)/365*0.67*X109*$R$6/100*$R$17*(1+$R$7)</f>
        <v>#N/A</v>
      </c>
      <c r="AC128" s="176" t="e">
        <f>(AA115+AA116*X116/365)/365*0.67*X109*$R$6/100*(365-$R$17)*(1+$R$7)</f>
        <v>#N/A</v>
      </c>
      <c r="AD128" s="141"/>
      <c r="AE128" s="65"/>
      <c r="AF128" s="320" t="s">
        <v>203</v>
      </c>
      <c r="AG128" s="476"/>
      <c r="AH128"/>
      <c r="AI128"/>
      <c r="AJ128"/>
      <c r="AK128"/>
      <c r="AL128" s="96" t="s">
        <v>230</v>
      </c>
      <c r="AM128" s="85" t="s">
        <v>66</v>
      </c>
      <c r="AN128" s="176" t="e">
        <f>(AM115+AM116*AJ116/365)/365*0.67*AJ109*$R$6/100*$R$17*(1+$R$7)</f>
        <v>#N/A</v>
      </c>
      <c r="AO128" s="176" t="e">
        <f>(AM115+AM116*AJ116/365)/365*0.67*AJ109*$R$6/100*(365-$R$17)*(1+$R$7)</f>
        <v>#N/A</v>
      </c>
      <c r="AP128" s="141"/>
      <c r="AQ128" s="65"/>
      <c r="AR128" s="474" t="s">
        <v>203</v>
      </c>
    </row>
    <row r="129" spans="21:44" x14ac:dyDescent="0.25">
      <c r="U129" s="275"/>
      <c r="Z129" s="96" t="s">
        <v>229</v>
      </c>
      <c r="AA129" s="85" t="s">
        <v>66</v>
      </c>
      <c r="AB129" s="176" t="e">
        <f>(AA118+AA119*X119/365)/365*0.67*X109*$R$6/100*$R$17*(1+$R$7)</f>
        <v>#N/A</v>
      </c>
      <c r="AC129" s="176" t="e">
        <f>(AA118+AA119*X119/365)/365*0.67*X109*$R$6/100*(365-$R$17)*(1+$R$7)</f>
        <v>#N/A</v>
      </c>
      <c r="AD129" s="141" t="s">
        <v>202</v>
      </c>
      <c r="AE129" s="65"/>
      <c r="AF129" s="320" t="s">
        <v>203</v>
      </c>
      <c r="AG129" s="476"/>
      <c r="AH129"/>
      <c r="AI129"/>
      <c r="AJ129"/>
      <c r="AK129"/>
      <c r="AL129" s="96" t="s">
        <v>229</v>
      </c>
      <c r="AM129" s="85" t="s">
        <v>66</v>
      </c>
      <c r="AN129" s="176" t="e">
        <f>(AM118+AM119*AJ119/365)/365*0.67*AJ109*$R$6/100*$R$17*(1+$R$7)</f>
        <v>#N/A</v>
      </c>
      <c r="AO129" s="176" t="e">
        <f>(AM118+AM119*AJ119/365)/365*0.67*AJ109*$R$6/100*(365-$R$17)*(1+$R$7)</f>
        <v>#N/A</v>
      </c>
      <c r="AP129" s="141" t="s">
        <v>202</v>
      </c>
      <c r="AQ129" s="65"/>
      <c r="AR129" s="474" t="s">
        <v>203</v>
      </c>
    </row>
    <row r="130" spans="21:44" x14ac:dyDescent="0.25">
      <c r="U130" s="275"/>
      <c r="Z130" s="96" t="s">
        <v>246</v>
      </c>
      <c r="AA130" s="85" t="s">
        <v>66</v>
      </c>
      <c r="AB130" s="258" t="e">
        <f>(AA115+AA116*X116/365)/365*0.67*X109*$R$6/100*$R$17*(1+$R$8*X121)</f>
        <v>#N/A</v>
      </c>
      <c r="AC130" s="258" t="e">
        <f>(AA115+AA116*X116/365)/365*0.67*X109*$R$6/100*(365-$R$17)*(1+$R$8*X121)</f>
        <v>#N/A</v>
      </c>
      <c r="AD130" s="141" t="s">
        <v>202</v>
      </c>
      <c r="AE130" s="65"/>
      <c r="AF130" s="320" t="s">
        <v>203</v>
      </c>
      <c r="AG130" s="476"/>
      <c r="AH130"/>
      <c r="AI130"/>
      <c r="AJ130"/>
      <c r="AK130"/>
      <c r="AL130" s="96" t="s">
        <v>246</v>
      </c>
      <c r="AM130" s="85" t="s">
        <v>66</v>
      </c>
      <c r="AN130" s="258" t="e">
        <f>(AM115+AM116*AJ116/365)/365*0.67*AJ109*$R$6/100*$R$17*(1+$R$8*AJ121)</f>
        <v>#N/A</v>
      </c>
      <c r="AO130" s="258" t="e">
        <f>(AM115+AM116*AJ116/365)/365*0.67*AJ109*$R$6/100*(365-$R$17)*(1+$R$8*AJ121)</f>
        <v>#N/A</v>
      </c>
      <c r="AP130" s="141" t="s">
        <v>202</v>
      </c>
      <c r="AQ130" s="65"/>
      <c r="AR130" s="474" t="s">
        <v>203</v>
      </c>
    </row>
    <row r="131" spans="21:44" x14ac:dyDescent="0.25">
      <c r="U131" s="275"/>
      <c r="Z131" s="96" t="s">
        <v>247</v>
      </c>
      <c r="AA131" s="85" t="s">
        <v>66</v>
      </c>
      <c r="AB131" s="202"/>
      <c r="AC131" s="202"/>
      <c r="AE131" s="65"/>
      <c r="AF131" s="320" t="s">
        <v>203</v>
      </c>
      <c r="AG131" s="476"/>
      <c r="AH131"/>
      <c r="AI131"/>
      <c r="AJ131"/>
      <c r="AK131"/>
      <c r="AL131" s="96" t="s">
        <v>247</v>
      </c>
      <c r="AM131" s="85" t="s">
        <v>66</v>
      </c>
      <c r="AN131" s="202"/>
      <c r="AO131" s="202"/>
      <c r="AP131" s="202"/>
      <c r="AQ131" s="65"/>
      <c r="AR131" s="474" t="s">
        <v>203</v>
      </c>
    </row>
    <row r="132" spans="21:44" x14ac:dyDescent="0.25">
      <c r="U132" s="275"/>
      <c r="Z132" s="96" t="s">
        <v>67</v>
      </c>
      <c r="AA132" s="85" t="s">
        <v>66</v>
      </c>
      <c r="AB132" s="176">
        <f>(_xlfn.AGGREGATE(9,6,AB115,AB116,AB118,AB119)/365)*0.67*X109*$R$9/100*$R$17</f>
        <v>7.5898670232132925</v>
      </c>
      <c r="AC132" s="176">
        <f>(_xlfn.AGGREGATE(9,6,AB115,AB116,AB118,AB119)/365)*0.67*X109*$R$9/100*(365-$R$17)</f>
        <v>7.5898670232132925</v>
      </c>
      <c r="AD132" s="141" t="s">
        <v>184</v>
      </c>
      <c r="AE132" s="65"/>
      <c r="AF132" s="320" t="s">
        <v>203</v>
      </c>
      <c r="AG132" s="476"/>
      <c r="AH132"/>
      <c r="AI132"/>
      <c r="AJ132"/>
      <c r="AK132"/>
      <c r="AL132" s="96" t="s">
        <v>67</v>
      </c>
      <c r="AM132" s="85" t="s">
        <v>66</v>
      </c>
      <c r="AN132" s="176">
        <f>(_xlfn.AGGREGATE(9,6,AN115,AN116,AN118,AN119)/365)*0.67*AJ109*$R$9/100*$R$17</f>
        <v>5.9699080350000004</v>
      </c>
      <c r="AO132" s="176">
        <f>(_xlfn.AGGREGATE(9,6,AN115,AN116,AN118,AN119)/365)*0.67*AJ109*$R$9/100*(365-$R$17)</f>
        <v>5.9699080350000004</v>
      </c>
      <c r="AP132" s="141" t="s">
        <v>184</v>
      </c>
      <c r="AQ132" s="65"/>
      <c r="AR132" s="474" t="s">
        <v>203</v>
      </c>
    </row>
    <row r="133" spans="21:44" x14ac:dyDescent="0.25">
      <c r="U133" s="275"/>
      <c r="Z133" s="21"/>
      <c r="AA133" s="5"/>
      <c r="AB133" s="5"/>
      <c r="AC133" s="5"/>
      <c r="AD133" s="204"/>
      <c r="AE133" s="125" t="s">
        <v>71</v>
      </c>
      <c r="AF133" s="320" t="s">
        <v>203</v>
      </c>
      <c r="AG133" s="476"/>
      <c r="AH133"/>
      <c r="AI133"/>
      <c r="AJ133"/>
      <c r="AK133"/>
      <c r="AL133" s="21"/>
      <c r="AM133" s="5"/>
      <c r="AN133" s="5"/>
      <c r="AO133" s="5"/>
      <c r="AP133" s="204"/>
      <c r="AQ133" s="125" t="s">
        <v>71</v>
      </c>
      <c r="AR133" s="474" t="s">
        <v>203</v>
      </c>
    </row>
    <row r="134" spans="21:44" x14ac:dyDescent="0.25">
      <c r="U134" s="275"/>
      <c r="Z134" s="97" t="s">
        <v>68</v>
      </c>
      <c r="AA134" s="85" t="s">
        <v>66</v>
      </c>
      <c r="AB134" s="93">
        <f xml:space="preserve"> _xlfn.AGGREGATE(9, 6, AB132:AC132, AB126:AC127,AB123)</f>
        <v>15.179734046426585</v>
      </c>
      <c r="AC134" s="176"/>
      <c r="AD134" s="141" t="s">
        <v>118</v>
      </c>
      <c r="AE134" s="65"/>
      <c r="AF134" s="320" t="s">
        <v>203</v>
      </c>
      <c r="AG134" s="476"/>
      <c r="AH134"/>
      <c r="AI134"/>
      <c r="AJ134"/>
      <c r="AK134"/>
      <c r="AL134" s="97" t="s">
        <v>68</v>
      </c>
      <c r="AM134" s="85" t="s">
        <v>66</v>
      </c>
      <c r="AN134" s="93">
        <f xml:space="preserve"> _xlfn.AGGREGATE(9, 6, AN132:AO132, AN126:AO127,AN123)</f>
        <v>11.939816070000001</v>
      </c>
      <c r="AO134" s="176"/>
      <c r="AP134" s="141" t="s">
        <v>118</v>
      </c>
      <c r="AQ134" s="65"/>
      <c r="AR134" s="474" t="s">
        <v>203</v>
      </c>
    </row>
    <row r="135" spans="21:44" x14ac:dyDescent="0.25">
      <c r="U135" s="275"/>
      <c r="Z135" s="97" t="s">
        <v>248</v>
      </c>
      <c r="AA135" s="85" t="s">
        <v>66</v>
      </c>
      <c r="AB135" s="259">
        <f xml:space="preserve"> _xlfn.AGGREGATE(9, 6, AB132:AC132, AB130:AC131,AB123,AB127:AC127)</f>
        <v>15.179734046426585</v>
      </c>
      <c r="AC135" s="85"/>
      <c r="AD135" s="141"/>
      <c r="AE135" s="65"/>
      <c r="AF135" s="320" t="s">
        <v>203</v>
      </c>
      <c r="AG135" s="476"/>
      <c r="AH135"/>
      <c r="AI135"/>
      <c r="AJ135"/>
      <c r="AK135"/>
      <c r="AL135" s="97" t="s">
        <v>248</v>
      </c>
      <c r="AM135" s="85" t="s">
        <v>66</v>
      </c>
      <c r="AN135" s="259">
        <f xml:space="preserve"> _xlfn.AGGREGATE(9, 6, AN132:AO132, AN130:AO131,AN123,AN127:AO127)</f>
        <v>11.939816070000001</v>
      </c>
      <c r="AO135" s="85"/>
      <c r="AP135" s="141"/>
      <c r="AQ135" s="65"/>
      <c r="AR135" s="474" t="s">
        <v>203</v>
      </c>
    </row>
    <row r="136" spans="21:44" x14ac:dyDescent="0.25">
      <c r="U136" s="275"/>
      <c r="Z136" s="54"/>
      <c r="AA136" s="55" t="s">
        <v>238</v>
      </c>
      <c r="AB136" s="14" t="s">
        <v>381</v>
      </c>
      <c r="AC136" s="15" t="s">
        <v>382</v>
      </c>
      <c r="AD136" s="141"/>
      <c r="AE136" s="65"/>
      <c r="AF136" s="320" t="s">
        <v>203</v>
      </c>
      <c r="AG136" s="476"/>
      <c r="AH136"/>
      <c r="AI136"/>
      <c r="AJ136"/>
      <c r="AK136"/>
      <c r="AL136" s="54"/>
      <c r="AM136" s="55" t="s">
        <v>238</v>
      </c>
      <c r="AN136" s="14" t="s">
        <v>381</v>
      </c>
      <c r="AO136" s="15" t="s">
        <v>382</v>
      </c>
      <c r="AP136" s="141"/>
      <c r="AQ136" s="65"/>
      <c r="AR136" s="474" t="s">
        <v>203</v>
      </c>
    </row>
    <row r="137" spans="21:44" x14ac:dyDescent="0.25">
      <c r="U137" s="275"/>
      <c r="Z137" s="52" t="s">
        <v>421</v>
      </c>
      <c r="AA137" s="333">
        <f>AB123</f>
        <v>0</v>
      </c>
      <c r="AB137" s="333">
        <f xml:space="preserve"> _xlfn.AGGREGATE(9, 6, AB132, AB130:AB131,AB127)</f>
        <v>7.5898670232132925</v>
      </c>
      <c r="AC137" s="334">
        <f xml:space="preserve"> _xlfn.AGGREGATE(9, 6, AC132, AC130:AC131,AC127)</f>
        <v>7.5898670232132925</v>
      </c>
      <c r="AD137" s="141"/>
      <c r="AE137" s="65"/>
      <c r="AF137" s="320" t="s">
        <v>203</v>
      </c>
      <c r="AG137" s="476"/>
      <c r="AH137"/>
      <c r="AI137"/>
      <c r="AJ137"/>
      <c r="AK137"/>
      <c r="AL137" s="52" t="s">
        <v>421</v>
      </c>
      <c r="AM137" s="333">
        <f>AN123</f>
        <v>0</v>
      </c>
      <c r="AN137" s="333">
        <f xml:space="preserve"> _xlfn.AGGREGATE(9, 6, AN132, AN130:AN131,AN127)</f>
        <v>5.9699080350000004</v>
      </c>
      <c r="AO137" s="334">
        <f xml:space="preserve"> _xlfn.AGGREGATE(9, 6, AO132, AO130:AO131,AO127)</f>
        <v>5.9699080350000004</v>
      </c>
      <c r="AP137" s="141"/>
      <c r="AQ137" s="65"/>
      <c r="AR137" s="474" t="s">
        <v>203</v>
      </c>
    </row>
    <row r="138" spans="21:44" x14ac:dyDescent="0.25">
      <c r="U138" s="275"/>
      <c r="Z138" s="97"/>
      <c r="AA138" s="85"/>
      <c r="AB138" s="85"/>
      <c r="AC138" s="85"/>
      <c r="AD138" s="141"/>
      <c r="AE138" s="65"/>
      <c r="AF138" s="320" t="s">
        <v>203</v>
      </c>
      <c r="AG138" s="476"/>
      <c r="AH138"/>
      <c r="AI138"/>
      <c r="AJ138"/>
      <c r="AK138"/>
      <c r="AL138" s="97"/>
      <c r="AM138" s="85"/>
      <c r="AN138" s="85"/>
      <c r="AO138" s="85"/>
      <c r="AP138" s="141"/>
      <c r="AQ138" s="65"/>
      <c r="AR138" s="474" t="s">
        <v>203</v>
      </c>
    </row>
    <row r="139" spans="21:44" x14ac:dyDescent="0.25">
      <c r="U139" s="275"/>
      <c r="Z139" s="96" t="s">
        <v>181</v>
      </c>
      <c r="AA139" s="85"/>
      <c r="AB139" s="176"/>
      <c r="AC139" s="176"/>
      <c r="AD139" s="141"/>
      <c r="AE139" s="65"/>
      <c r="AF139" s="320" t="s">
        <v>203</v>
      </c>
      <c r="AG139" s="476"/>
      <c r="AH139"/>
      <c r="AI139"/>
      <c r="AJ139"/>
      <c r="AK139"/>
      <c r="AL139" s="96" t="s">
        <v>181</v>
      </c>
      <c r="AM139" s="85"/>
      <c r="AN139" s="176"/>
      <c r="AO139" s="176"/>
      <c r="AP139" s="141"/>
      <c r="AQ139" s="65"/>
      <c r="AR139" s="474" t="s">
        <v>203</v>
      </c>
    </row>
    <row r="140" spans="21:44" x14ac:dyDescent="0.25">
      <c r="U140" s="275"/>
      <c r="Z140" s="96" t="s">
        <v>185</v>
      </c>
      <c r="AA140" s="84" t="s">
        <v>13</v>
      </c>
      <c r="AB140" s="176">
        <f>AB134*$R$14</f>
        <v>423.51457989530172</v>
      </c>
      <c r="AC140" s="176"/>
      <c r="AD140" s="141" t="s">
        <v>117</v>
      </c>
      <c r="AE140" s="65"/>
      <c r="AF140" s="320" t="s">
        <v>203</v>
      </c>
      <c r="AG140" s="476"/>
      <c r="AH140"/>
      <c r="AI140"/>
      <c r="AJ140"/>
      <c r="AK140"/>
      <c r="AL140" s="96" t="s">
        <v>185</v>
      </c>
      <c r="AM140" s="84" t="s">
        <v>13</v>
      </c>
      <c r="AN140" s="176">
        <f>AN134*$R$14</f>
        <v>333.12086835299999</v>
      </c>
      <c r="AO140" s="176"/>
      <c r="AP140" s="141" t="s">
        <v>117</v>
      </c>
      <c r="AQ140" s="65"/>
      <c r="AR140" s="474" t="s">
        <v>203</v>
      </c>
    </row>
    <row r="141" spans="21:44" x14ac:dyDescent="0.25">
      <c r="U141" s="275"/>
      <c r="Z141" s="96" t="s">
        <v>249</v>
      </c>
      <c r="AA141" s="84" t="s">
        <v>13</v>
      </c>
      <c r="AB141" s="258">
        <f>AB135*$R$14</f>
        <v>423.51457989530172</v>
      </c>
      <c r="AC141" s="176"/>
      <c r="AD141" s="141" t="s">
        <v>117</v>
      </c>
      <c r="AE141" s="65"/>
      <c r="AF141" s="320" t="s">
        <v>203</v>
      </c>
      <c r="AG141" s="476"/>
      <c r="AH141"/>
      <c r="AI141"/>
      <c r="AJ141"/>
      <c r="AK141"/>
      <c r="AL141" s="96" t="s">
        <v>249</v>
      </c>
      <c r="AM141" s="84" t="s">
        <v>13</v>
      </c>
      <c r="AN141" s="258">
        <f>AN135*$R$14</f>
        <v>333.12086835299999</v>
      </c>
      <c r="AO141" s="176"/>
      <c r="AP141" s="141" t="s">
        <v>117</v>
      </c>
      <c r="AQ141" s="65"/>
      <c r="AR141" s="474" t="s">
        <v>203</v>
      </c>
    </row>
    <row r="142" spans="21:44" x14ac:dyDescent="0.25">
      <c r="U142" s="275"/>
      <c r="Z142" s="25"/>
      <c r="AA142" s="55" t="s">
        <v>238</v>
      </c>
      <c r="AB142" s="14" t="s">
        <v>381</v>
      </c>
      <c r="AC142" s="15" t="s">
        <v>382</v>
      </c>
      <c r="AE142" s="18"/>
      <c r="AF142" s="320" t="s">
        <v>203</v>
      </c>
      <c r="AG142" s="476"/>
      <c r="AH142"/>
      <c r="AI142"/>
      <c r="AJ142"/>
      <c r="AK142"/>
      <c r="AL142" s="25"/>
      <c r="AM142" s="55" t="s">
        <v>238</v>
      </c>
      <c r="AN142" s="14" t="s">
        <v>381</v>
      </c>
      <c r="AO142" s="15" t="s">
        <v>382</v>
      </c>
      <c r="AP142" s="202"/>
      <c r="AQ142" s="18"/>
      <c r="AR142" s="474" t="s">
        <v>203</v>
      </c>
    </row>
    <row r="143" spans="21:44" x14ac:dyDescent="0.25">
      <c r="U143" s="275"/>
      <c r="Z143" s="29" t="s">
        <v>422</v>
      </c>
      <c r="AA143" s="333">
        <f>AA137*$R$14</f>
        <v>0</v>
      </c>
      <c r="AB143" s="333">
        <f>AB137*$R$14</f>
        <v>211.75728994765086</v>
      </c>
      <c r="AC143" s="334">
        <f>AC137*$R$14</f>
        <v>211.75728994765086</v>
      </c>
      <c r="AD143" s="335" t="s">
        <v>117</v>
      </c>
      <c r="AE143" s="23"/>
      <c r="AF143" s="320" t="s">
        <v>203</v>
      </c>
      <c r="AG143" s="476"/>
      <c r="AH143"/>
      <c r="AI143"/>
      <c r="AJ143"/>
      <c r="AK143"/>
      <c r="AL143" s="29" t="s">
        <v>422</v>
      </c>
      <c r="AM143" s="333">
        <f>AM137*$R$14</f>
        <v>0</v>
      </c>
      <c r="AN143" s="333">
        <f>AN137*$R$14</f>
        <v>166.5604341765</v>
      </c>
      <c r="AO143" s="334">
        <f>AO137*$R$14</f>
        <v>166.5604341765</v>
      </c>
      <c r="AP143" s="335" t="s">
        <v>117</v>
      </c>
      <c r="AQ143" s="23"/>
      <c r="AR143" s="474" t="s">
        <v>203</v>
      </c>
    </row>
    <row r="144" spans="21:44" x14ac:dyDescent="0.25">
      <c r="AF144" s="320" t="s">
        <v>203</v>
      </c>
      <c r="AG144"/>
      <c r="AH144"/>
      <c r="AI144"/>
      <c r="AJ144"/>
      <c r="AK144"/>
      <c r="AL144"/>
      <c r="AM144"/>
      <c r="AN144"/>
      <c r="AO144"/>
      <c r="AP144" s="202"/>
      <c r="AQ144"/>
      <c r="AR144" s="474" t="s">
        <v>203</v>
      </c>
    </row>
    <row r="145" spans="21:44" x14ac:dyDescent="0.25">
      <c r="U145" s="275"/>
      <c r="V145" s="670" t="s">
        <v>274</v>
      </c>
      <c r="AF145" s="320" t="s">
        <v>203</v>
      </c>
      <c r="AG145" s="476"/>
      <c r="AH145" s="670" t="s">
        <v>461</v>
      </c>
      <c r="AI145"/>
      <c r="AJ145"/>
      <c r="AK145"/>
      <c r="AL145"/>
      <c r="AM145"/>
      <c r="AN145"/>
      <c r="AO145"/>
      <c r="AP145" s="202"/>
      <c r="AQ145"/>
      <c r="AR145" s="474" t="s">
        <v>203</v>
      </c>
    </row>
    <row r="146" spans="21:44" x14ac:dyDescent="0.25">
      <c r="U146" s="275"/>
      <c r="W146" s="670" t="s">
        <v>65</v>
      </c>
      <c r="X146">
        <f>INDEX($Q$2:$S$3, 2,MATCH(W146,$Q$2:$S$2,0))</f>
        <v>0.18</v>
      </c>
      <c r="Y146" t="s">
        <v>63</v>
      </c>
      <c r="Z146" s="103"/>
      <c r="AA146" s="191"/>
      <c r="AB146" s="191"/>
      <c r="AC146" s="191"/>
      <c r="AD146" s="237"/>
      <c r="AE146" s="238"/>
      <c r="AF146" s="320" t="s">
        <v>203</v>
      </c>
      <c r="AG146" s="476"/>
      <c r="AH146"/>
      <c r="AI146" s="670" t="s">
        <v>65</v>
      </c>
      <c r="AJ146">
        <f>INDEX($Q$2:$S$3, 2,MATCH(AI146,$Q$2:$S$2,0))</f>
        <v>0.18</v>
      </c>
      <c r="AK146" t="s">
        <v>63</v>
      </c>
      <c r="AL146" s="103"/>
      <c r="AM146" s="191"/>
      <c r="AN146" s="191"/>
      <c r="AO146" s="191"/>
      <c r="AP146" s="237"/>
      <c r="AQ146" s="238"/>
      <c r="AR146" s="474" t="s">
        <v>203</v>
      </c>
    </row>
    <row r="147" spans="21:44" x14ac:dyDescent="0.25">
      <c r="U147" s="275"/>
      <c r="W147" s="108" t="s">
        <v>93</v>
      </c>
      <c r="X147" s="109"/>
      <c r="Z147" s="239" t="s">
        <v>231</v>
      </c>
      <c r="AA147" s="194"/>
      <c r="AB147" s="194"/>
      <c r="AC147" s="194"/>
      <c r="AD147" s="240"/>
      <c r="AE147" s="241"/>
      <c r="AF147" s="320" t="s">
        <v>203</v>
      </c>
      <c r="AG147" s="476"/>
      <c r="AH147"/>
      <c r="AI147" s="108" t="s">
        <v>93</v>
      </c>
      <c r="AJ147" s="109"/>
      <c r="AK147"/>
      <c r="AL147" s="239" t="s">
        <v>231</v>
      </c>
      <c r="AM147" s="194"/>
      <c r="AN147" s="194"/>
      <c r="AO147" s="194"/>
      <c r="AP147" s="240"/>
      <c r="AQ147" s="241"/>
      <c r="AR147" s="474" t="s">
        <v>203</v>
      </c>
    </row>
    <row r="148" spans="21:44" x14ac:dyDescent="0.25">
      <c r="U148" s="275"/>
      <c r="W148" s="110" t="s">
        <v>81</v>
      </c>
      <c r="X148" s="665">
        <v>180</v>
      </c>
      <c r="Z148" s="126"/>
      <c r="AA148" s="192"/>
      <c r="AB148" s="192"/>
      <c r="AC148" s="192"/>
      <c r="AD148" s="242"/>
      <c r="AE148" s="243"/>
      <c r="AF148" s="320" t="s">
        <v>203</v>
      </c>
      <c r="AG148" s="476"/>
      <c r="AH148"/>
      <c r="AI148" s="110" t="s">
        <v>81</v>
      </c>
      <c r="AJ148" s="665">
        <v>180</v>
      </c>
      <c r="AK148"/>
      <c r="AL148" s="126"/>
      <c r="AM148" s="192"/>
      <c r="AN148" s="192"/>
      <c r="AO148" s="192"/>
      <c r="AP148" s="242"/>
      <c r="AQ148" s="243"/>
      <c r="AR148" s="474" t="s">
        <v>203</v>
      </c>
    </row>
    <row r="149" spans="21:44" x14ac:dyDescent="0.25">
      <c r="U149" s="275"/>
      <c r="W149" s="228" t="s">
        <v>82</v>
      </c>
      <c r="X149" s="666">
        <v>24</v>
      </c>
      <c r="Z149" s="127"/>
      <c r="AA149" s="54" t="s">
        <v>5</v>
      </c>
      <c r="AB149" s="187" t="s">
        <v>6</v>
      </c>
      <c r="AC149" s="128"/>
      <c r="AD149" s="203"/>
      <c r="AE149" s="124"/>
      <c r="AF149" s="320" t="s">
        <v>203</v>
      </c>
      <c r="AG149" s="476"/>
      <c r="AH149"/>
      <c r="AI149" s="228" t="s">
        <v>82</v>
      </c>
      <c r="AJ149" s="666">
        <v>24</v>
      </c>
      <c r="AK149"/>
      <c r="AL149" s="127"/>
      <c r="AM149" s="54" t="s">
        <v>5</v>
      </c>
      <c r="AN149" s="187" t="s">
        <v>6</v>
      </c>
      <c r="AO149" s="128"/>
      <c r="AP149" s="203"/>
      <c r="AQ149" s="124"/>
      <c r="AR149" s="474" t="s">
        <v>203</v>
      </c>
    </row>
    <row r="150" spans="21:44" x14ac:dyDescent="0.25">
      <c r="U150" s="275"/>
      <c r="Z150" s="96" t="s">
        <v>145</v>
      </c>
      <c r="AA150" s="183">
        <f>INDEX(Normtal!$Q$3:$AC$551,MATCH('CH4_Gylle_Stald&amp;Lager'!V145,Normtal!$Q$3:$Q$551,0),9)*(X148/365)*(X149/24)</f>
        <v>140.54861352692382</v>
      </c>
      <c r="AB150" s="78"/>
      <c r="AC150" s="44"/>
      <c r="AD150" s="204" t="s">
        <v>147</v>
      </c>
      <c r="AE150" s="65"/>
      <c r="AF150" s="320" t="s">
        <v>203</v>
      </c>
      <c r="AG150" s="476"/>
      <c r="AH150"/>
      <c r="AI150"/>
      <c r="AJ150"/>
      <c r="AK150"/>
      <c r="AL150" s="96" t="s">
        <v>145</v>
      </c>
      <c r="AM150" s="183">
        <f>INDEX(Normtal!$Q$3:$AC$551,MATCH('CH4_Gylle_Stald&amp;Lager'!AH145,Normtal!$Q$3:$Q$551,0),9)*(AJ148/365)*(AJ149/24)</f>
        <v>105.67560875026346</v>
      </c>
      <c r="AN150" s="78"/>
      <c r="AO150" s="44"/>
      <c r="AP150" s="204" t="s">
        <v>147</v>
      </c>
      <c r="AQ150" s="65"/>
      <c r="AR150" s="474" t="s">
        <v>203</v>
      </c>
    </row>
    <row r="151" spans="21:44" x14ac:dyDescent="0.25">
      <c r="U151" s="275"/>
      <c r="V151" s="45"/>
      <c r="W151" s="229" t="s">
        <v>221</v>
      </c>
      <c r="X151" s="230"/>
      <c r="Z151" s="96"/>
      <c r="AA151" s="667" t="s">
        <v>277</v>
      </c>
      <c r="AB151" s="220" t="s">
        <v>210</v>
      </c>
      <c r="AC151" s="5"/>
      <c r="AD151" s="226"/>
      <c r="AE151" s="65"/>
      <c r="AF151" s="320" t="s">
        <v>203</v>
      </c>
      <c r="AG151" s="476"/>
      <c r="AH151" s="45"/>
      <c r="AI151" s="229" t="s">
        <v>221</v>
      </c>
      <c r="AJ151" s="230"/>
      <c r="AK151"/>
      <c r="AL151" s="96"/>
      <c r="AM151" s="667" t="s">
        <v>599</v>
      </c>
      <c r="AN151" s="220" t="s">
        <v>210</v>
      </c>
      <c r="AO151" s="5"/>
      <c r="AP151" s="226"/>
      <c r="AQ151" s="65"/>
      <c r="AR151" s="474" t="s">
        <v>203</v>
      </c>
    </row>
    <row r="152" spans="21:44" x14ac:dyDescent="0.25">
      <c r="U152" s="275"/>
      <c r="V152" s="5"/>
      <c r="W152" s="231" t="s">
        <v>224</v>
      </c>
      <c r="X152" s="669">
        <v>0.37</v>
      </c>
      <c r="Z152" s="97" t="s">
        <v>115</v>
      </c>
      <c r="AA152" s="183">
        <f>INDEX(Normtal!$Q$3:$AC$551,MATCH('CH4_Gylle_Stald&amp;Lager'!AA151,Normtal!$AA$3:$AA$551,0),9)*$X153/365</f>
        <v>53.447514421766314</v>
      </c>
      <c r="AB152" s="183" t="e">
        <f>INDEX(Normtal!$Q$3:$AC$551,MATCH('CH4_Gylle_Stald&amp;Lager'!AB151,Normtal!$AA$3:$AA$551,0),9)*$X153/365</f>
        <v>#N/A</v>
      </c>
      <c r="AC152" s="44"/>
      <c r="AD152" s="204"/>
      <c r="AE152" s="65"/>
      <c r="AF152" s="320" t="s">
        <v>203</v>
      </c>
      <c r="AG152" s="476"/>
      <c r="AH152" s="5"/>
      <c r="AI152" s="231" t="s">
        <v>224</v>
      </c>
      <c r="AJ152" s="669">
        <v>0.4</v>
      </c>
      <c r="AK152"/>
      <c r="AL152" s="97" t="s">
        <v>115</v>
      </c>
      <c r="AM152" s="183">
        <f>INDEX(Normtal!$Q$3:$AC$551,MATCH('CH4_Gylle_Stald&amp;Lager'!AM151,Normtal!$AA$3:$AA$551,0),9)*$AJ153/365</f>
        <v>43.44441693066387</v>
      </c>
      <c r="AN152" s="183" t="e">
        <f>INDEX(Normtal!$Q$3:$AC$551,MATCH('CH4_Gylle_Stald&amp;Lager'!AN151,Normtal!$AA$3:$AA$551,0),9)*$AJ153/365</f>
        <v>#N/A</v>
      </c>
      <c r="AO152" s="44"/>
      <c r="AP152" s="204"/>
      <c r="AQ152" s="65"/>
      <c r="AR152" s="474" t="s">
        <v>203</v>
      </c>
    </row>
    <row r="153" spans="21:44" x14ac:dyDescent="0.25">
      <c r="U153" s="275"/>
      <c r="W153" s="233" t="s">
        <v>223</v>
      </c>
      <c r="X153" s="583">
        <f>(365-X148*X149/24)*X152</f>
        <v>68.45</v>
      </c>
      <c r="Z153" s="97" t="s">
        <v>116</v>
      </c>
      <c r="AA153" s="183">
        <f>INDEX(Normtal!$Q$3:$AC$551,MATCH('CH4_Gylle_Stald&amp;Lager'!AA151,Normtal!$AA$3:$AA$551,0),7)*$X153/365</f>
        <v>16.582012500000001</v>
      </c>
      <c r="AB153" s="183" t="e">
        <f>INDEX(Normtal!$Q$3:$AC$551,MATCH('CH4_Gylle_Stald&amp;Lager'!AB151,Normtal!$AA$3:$AA$551,0),7)*$X153/365</f>
        <v>#N/A</v>
      </c>
      <c r="AC153" s="44"/>
      <c r="AD153" s="204"/>
      <c r="AE153" s="65"/>
      <c r="AF153" s="320" t="s">
        <v>203</v>
      </c>
      <c r="AG153" s="476"/>
      <c r="AH153"/>
      <c r="AI153" s="233" t="s">
        <v>223</v>
      </c>
      <c r="AJ153" s="583">
        <f>(365-AJ148*AJ149/24)*AJ152</f>
        <v>74</v>
      </c>
      <c r="AK153"/>
      <c r="AL153" s="97" t="s">
        <v>116</v>
      </c>
      <c r="AM153" s="183">
        <f>INDEX(Normtal!$Q$3:$AC$551,MATCH('CH4_Gylle_Stald&amp;Lager'!AM151,Normtal!$AA$3:$AA$551,0),7)*$AJ153/365</f>
        <v>11.951000000000002</v>
      </c>
      <c r="AN153" s="183" t="e">
        <f>INDEX(Normtal!$Q$3:$AC$551,MATCH('CH4_Gylle_Stald&amp;Lager'!AN151,Normtal!$AA$3:$AA$551,0),7)*$AJ153/365</f>
        <v>#N/A</v>
      </c>
      <c r="AO153" s="44"/>
      <c r="AP153" s="204"/>
      <c r="AQ153" s="65"/>
      <c r="AR153" s="474" t="s">
        <v>203</v>
      </c>
    </row>
    <row r="154" spans="21:44" x14ac:dyDescent="0.25">
      <c r="U154" s="275"/>
      <c r="W154" s="229" t="s">
        <v>222</v>
      </c>
      <c r="X154" s="230"/>
      <c r="Z154" s="225"/>
      <c r="AA154" s="667" t="s">
        <v>271</v>
      </c>
      <c r="AB154" s="667" t="s">
        <v>272</v>
      </c>
      <c r="AC154" s="5"/>
      <c r="AD154" s="227"/>
      <c r="AE154" s="65"/>
      <c r="AF154" s="320" t="s">
        <v>203</v>
      </c>
      <c r="AG154" s="476"/>
      <c r="AH154"/>
      <c r="AI154" s="229" t="s">
        <v>222</v>
      </c>
      <c r="AJ154" s="230"/>
      <c r="AK154"/>
      <c r="AL154" s="225"/>
      <c r="AM154" s="667" t="s">
        <v>600</v>
      </c>
      <c r="AN154" s="667" t="s">
        <v>601</v>
      </c>
      <c r="AO154" s="5"/>
      <c r="AP154" s="227"/>
      <c r="AQ154" s="65"/>
      <c r="AR154" s="474" t="s">
        <v>203</v>
      </c>
    </row>
    <row r="155" spans="21:44" x14ac:dyDescent="0.25">
      <c r="U155" s="275"/>
      <c r="W155" s="231" t="s">
        <v>224</v>
      </c>
      <c r="X155" s="232">
        <f>1-X152</f>
        <v>0.63</v>
      </c>
      <c r="Z155" s="97" t="s">
        <v>115</v>
      </c>
      <c r="AA155" s="183">
        <f>INDEX(Normtal!$Q$3:$AC$551,MATCH('CH4_Gylle_Stald&amp;Lager'!AA154,Normtal!$AA$3:$AA$551,0),9)*$X156/365</f>
        <v>36.402090903473272</v>
      </c>
      <c r="AB155" s="183">
        <f>INDEX(Normtal!$Q$3:$AC$551,MATCH('CH4_Gylle_Stald&amp;Lager'!AB154,Normtal!$AA$3:$AA$551,0),9)*$X156/365</f>
        <v>54.603136355209905</v>
      </c>
      <c r="AC155" s="44"/>
      <c r="AD155" s="204" t="s">
        <v>148</v>
      </c>
      <c r="AE155" s="65"/>
      <c r="AF155" s="320" t="s">
        <v>203</v>
      </c>
      <c r="AG155" s="476"/>
      <c r="AH155"/>
      <c r="AI155" s="231" t="s">
        <v>224</v>
      </c>
      <c r="AJ155" s="232">
        <f>1-AJ152</f>
        <v>0.6</v>
      </c>
      <c r="AK155"/>
      <c r="AL155" s="97" t="s">
        <v>115</v>
      </c>
      <c r="AM155" s="183">
        <f>INDEX(Normtal!$Q$3:$AC$551,MATCH('CH4_Gylle_Stald&amp;Lager'!AM154,Normtal!$AA$3:$AA$551,0),9)*$AJ156/365</f>
        <v>26.066650158398321</v>
      </c>
      <c r="AN155" s="183">
        <f>INDEX(Normtal!$Q$3:$AC$551,MATCH('CH4_Gylle_Stald&amp;Lager'!AN154,Normtal!$AA$3:$AA$551,0),9)*$AJ156/365</f>
        <v>39.099975237597484</v>
      </c>
      <c r="AO155" s="44"/>
      <c r="AP155" s="204" t="s">
        <v>148</v>
      </c>
      <c r="AQ155" s="65"/>
      <c r="AR155" s="474" t="s">
        <v>203</v>
      </c>
    </row>
    <row r="156" spans="21:44" x14ac:dyDescent="0.25">
      <c r="U156" s="275"/>
      <c r="V156" s="5"/>
      <c r="W156" s="233" t="s">
        <v>81</v>
      </c>
      <c r="X156" s="234">
        <f>(365-X148*X149/24)*X155</f>
        <v>116.55</v>
      </c>
      <c r="Z156" s="97" t="s">
        <v>116</v>
      </c>
      <c r="AA156" s="222">
        <f>INDEX(Normtal!$Q$3:$AC$551,MATCH('CH4_Gylle_Stald&amp;Lager'!AA154,Normtal!$AA$3:$AA$551,0),7)*$X156/365</f>
        <v>0</v>
      </c>
      <c r="AB156" s="222">
        <f>INDEX(Normtal!$Q$3:$AC$551,MATCH('CH4_Gylle_Stald&amp;Lager'!AB154,Normtal!$AA$3:$AA$551,0),7)*$X156/365</f>
        <v>470.57062499999995</v>
      </c>
      <c r="AC156" s="44"/>
      <c r="AD156" s="141"/>
      <c r="AE156" s="65"/>
      <c r="AF156" s="320" t="s">
        <v>203</v>
      </c>
      <c r="AG156" s="476"/>
      <c r="AH156" s="5"/>
      <c r="AI156" s="233" t="s">
        <v>81</v>
      </c>
      <c r="AJ156" s="234">
        <f>(365-AJ148*AJ149/24)*AJ155</f>
        <v>111</v>
      </c>
      <c r="AK156"/>
      <c r="AL156" s="97" t="s">
        <v>116</v>
      </c>
      <c r="AM156" s="222">
        <f>INDEX(Normtal!$Q$3:$AC$551,MATCH('CH4_Gylle_Stald&amp;Lager'!AM154,Normtal!$AA$3:$AA$551,0),7)*$AJ156/365</f>
        <v>0</v>
      </c>
      <c r="AN156" s="222">
        <f>INDEX(Normtal!$Q$3:$AC$551,MATCH('CH4_Gylle_Stald&amp;Lager'!AN154,Normtal!$AA$3:$AA$551,0),7)*$AJ156/365</f>
        <v>358.53000000000003</v>
      </c>
      <c r="AO156" s="44"/>
      <c r="AP156" s="141"/>
      <c r="AQ156" s="65"/>
      <c r="AR156" s="474" t="s">
        <v>203</v>
      </c>
    </row>
    <row r="157" spans="21:44" x14ac:dyDescent="0.25">
      <c r="U157" s="275"/>
      <c r="Z157" s="235" t="s">
        <v>225</v>
      </c>
      <c r="AA157" s="90">
        <f>_xlfn.AGGREGATE(9,6,AA150:AB150,AA152:AB152,AA155:AB155)</f>
        <v>285.00135520737331</v>
      </c>
      <c r="AB157" s="267">
        <f>INDEX(Normtal!$Q$3:$AC$551,MATCH('CH4_Gylle_Stald&amp;Lager'!V145,Normtal!$Q$3:$Q$551,0),9)</f>
        <v>285.00135520737331</v>
      </c>
      <c r="AC157" s="44"/>
      <c r="AD157" s="141"/>
      <c r="AE157" s="65"/>
      <c r="AF157" s="320" t="s">
        <v>203</v>
      </c>
      <c r="AG157" s="476"/>
      <c r="AH157"/>
      <c r="AI157"/>
      <c r="AJ157"/>
      <c r="AK157"/>
      <c r="AL157" s="235" t="s">
        <v>225</v>
      </c>
      <c r="AM157" s="90">
        <f>_xlfn.AGGREGATE(9,6,AM150:AN150,AM152:AN152,AM155:AN155)</f>
        <v>214.28665107692314</v>
      </c>
      <c r="AN157" s="267">
        <f>INDEX(Normtal!$Q$3:$AC$551,MATCH('CH4_Gylle_Stald&amp;Lager'!AH145,Normtal!$Q$3:$Q$551,0),9)</f>
        <v>214.28665107692314</v>
      </c>
      <c r="AO157" s="44"/>
      <c r="AP157" s="141"/>
      <c r="AQ157" s="65"/>
      <c r="AR157" s="474" t="s">
        <v>203</v>
      </c>
    </row>
    <row r="158" spans="21:44" x14ac:dyDescent="0.25">
      <c r="U158" s="275"/>
      <c r="W158" s="257" t="s">
        <v>245</v>
      </c>
      <c r="X158" s="668">
        <v>0.3</v>
      </c>
      <c r="Z158" s="96"/>
      <c r="AA158" s="85"/>
      <c r="AB158" s="93"/>
      <c r="AC158" s="93"/>
      <c r="AD158" s="141"/>
      <c r="AE158" s="65"/>
      <c r="AF158" s="320" t="s">
        <v>203</v>
      </c>
      <c r="AG158" s="476"/>
      <c r="AH158"/>
      <c r="AI158" s="257" t="s">
        <v>245</v>
      </c>
      <c r="AJ158" s="668">
        <v>0.3</v>
      </c>
      <c r="AK158"/>
      <c r="AL158" s="96"/>
      <c r="AM158" s="85"/>
      <c r="AN158" s="93"/>
      <c r="AO158" s="93"/>
      <c r="AP158" s="141"/>
      <c r="AQ158" s="65"/>
      <c r="AR158" s="474" t="s">
        <v>203</v>
      </c>
    </row>
    <row r="159" spans="21:44" x14ac:dyDescent="0.25">
      <c r="U159" s="275"/>
      <c r="Z159" s="96" t="s">
        <v>84</v>
      </c>
      <c r="AA159" s="85"/>
      <c r="AB159" s="85"/>
      <c r="AC159" s="85"/>
      <c r="AD159" s="141"/>
      <c r="AE159" s="65"/>
      <c r="AF159" s="320" t="s">
        <v>203</v>
      </c>
      <c r="AG159" s="476"/>
      <c r="AH159"/>
      <c r="AI159"/>
      <c r="AJ159"/>
      <c r="AK159"/>
      <c r="AL159" s="96" t="s">
        <v>84</v>
      </c>
      <c r="AM159" s="85"/>
      <c r="AN159" s="85"/>
      <c r="AO159" s="85"/>
      <c r="AP159" s="141"/>
      <c r="AQ159" s="65"/>
      <c r="AR159" s="474" t="s">
        <v>203</v>
      </c>
    </row>
    <row r="160" spans="21:44" x14ac:dyDescent="0.25">
      <c r="U160" s="275"/>
      <c r="W160" s="77" t="s">
        <v>226</v>
      </c>
      <c r="X160" s="236">
        <f>X148*X149/24+X153+X156</f>
        <v>365</v>
      </c>
      <c r="Z160" s="97" t="s">
        <v>62</v>
      </c>
      <c r="AA160" s="85" t="s">
        <v>66</v>
      </c>
      <c r="AB160" s="176">
        <f>(AA150)*0.67*X146*$R$10/100</f>
        <v>7.9665765119330947E-2</v>
      </c>
      <c r="AC160" s="176"/>
      <c r="AD160" s="141" t="s">
        <v>146</v>
      </c>
      <c r="AE160" s="65"/>
      <c r="AF160" s="320" t="s">
        <v>203</v>
      </c>
      <c r="AG160" s="476"/>
      <c r="AH160"/>
      <c r="AI160" s="77" t="s">
        <v>226</v>
      </c>
      <c r="AJ160" s="236">
        <f>AJ148*AJ149/24+AJ153+AJ156</f>
        <v>365</v>
      </c>
      <c r="AK160"/>
      <c r="AL160" s="97" t="s">
        <v>62</v>
      </c>
      <c r="AM160" s="85" t="s">
        <v>66</v>
      </c>
      <c r="AN160" s="176">
        <f>(AM150)*0.67*AJ146*$R$10/100</f>
        <v>5.9899048551824333E-2</v>
      </c>
      <c r="AO160" s="176"/>
      <c r="AP160" s="141" t="s">
        <v>146</v>
      </c>
      <c r="AQ160" s="65"/>
      <c r="AR160" s="474" t="s">
        <v>203</v>
      </c>
    </row>
    <row r="161" spans="21:44" x14ac:dyDescent="0.25">
      <c r="U161" s="275"/>
      <c r="Z161" s="177"/>
      <c r="AA161" s="85"/>
      <c r="AB161" s="85"/>
      <c r="AC161" s="85"/>
      <c r="AD161" s="141"/>
      <c r="AE161" s="65"/>
      <c r="AF161" s="320" t="s">
        <v>203</v>
      </c>
      <c r="AG161" s="476"/>
      <c r="AH161"/>
      <c r="AI161"/>
      <c r="AJ161"/>
      <c r="AK161"/>
      <c r="AL161" s="177"/>
      <c r="AM161" s="85"/>
      <c r="AN161" s="85"/>
      <c r="AO161" s="85"/>
      <c r="AP161" s="141"/>
      <c r="AQ161" s="65"/>
      <c r="AR161" s="474" t="s">
        <v>203</v>
      </c>
    </row>
    <row r="162" spans="21:44" x14ac:dyDescent="0.25">
      <c r="U162" s="275"/>
      <c r="X162" s="244"/>
      <c r="Z162" s="96" t="s">
        <v>188</v>
      </c>
      <c r="AA162" s="85"/>
      <c r="AB162" s="85" t="s">
        <v>180</v>
      </c>
      <c r="AC162" s="85" t="s">
        <v>182</v>
      </c>
      <c r="AD162" s="141"/>
      <c r="AE162" s="65"/>
      <c r="AF162" s="320" t="s">
        <v>203</v>
      </c>
      <c r="AG162" s="476"/>
      <c r="AH162"/>
      <c r="AI162"/>
      <c r="AJ162" s="244"/>
      <c r="AK162"/>
      <c r="AL162" s="96" t="s">
        <v>188</v>
      </c>
      <c r="AM162" s="85"/>
      <c r="AN162" s="85" t="s">
        <v>180</v>
      </c>
      <c r="AO162" s="85" t="s">
        <v>182</v>
      </c>
      <c r="AP162" s="141"/>
      <c r="AQ162" s="65"/>
      <c r="AR162" s="474" t="s">
        <v>203</v>
      </c>
    </row>
    <row r="163" spans="21:44" x14ac:dyDescent="0.25">
      <c r="U163" s="275"/>
      <c r="X163" s="245"/>
      <c r="Z163" s="96" t="s">
        <v>227</v>
      </c>
      <c r="AA163" s="85" t="s">
        <v>66</v>
      </c>
      <c r="AB163" s="176">
        <f>(AA152+AA153*X153/365)/365*0.67*X146*$R$6/100*$R$17</f>
        <v>0.42288956794007287</v>
      </c>
      <c r="AC163" s="176">
        <f>(AA152+AA153*X153/365)/365*0.67*X146*$R$6/100*(365-$R$17)</f>
        <v>0.42288956794007287</v>
      </c>
      <c r="AD163" s="141"/>
      <c r="AE163" s="65"/>
      <c r="AF163" s="320" t="s">
        <v>203</v>
      </c>
      <c r="AG163" s="476"/>
      <c r="AH163"/>
      <c r="AI163"/>
      <c r="AJ163" s="245"/>
      <c r="AK163"/>
      <c r="AL163" s="96" t="s">
        <v>227</v>
      </c>
      <c r="AM163" s="85" t="s">
        <v>66</v>
      </c>
      <c r="AN163" s="176">
        <f>(AM152+AM153*AJ153/365)/365*0.67*AJ146*$R$6/100*$R$17</f>
        <v>0.34295941967889143</v>
      </c>
      <c r="AO163" s="176">
        <f>(AM152+AM153*AJ153/365)/365*0.67*AJ146*$R$6/100*(365-$R$17)</f>
        <v>0.34295941967889143</v>
      </c>
      <c r="AP163" s="141"/>
      <c r="AQ163" s="65"/>
      <c r="AR163" s="474" t="s">
        <v>203</v>
      </c>
    </row>
    <row r="164" spans="21:44" x14ac:dyDescent="0.25">
      <c r="U164" s="275"/>
      <c r="X164" s="245"/>
      <c r="Z164" s="96" t="s">
        <v>228</v>
      </c>
      <c r="AA164" s="85" t="s">
        <v>66</v>
      </c>
      <c r="AB164" s="176">
        <f>(AA155+AA156*X156/365)/365*0.67*X146*$R$6/100*$R$17</f>
        <v>0.27218571410345033</v>
      </c>
      <c r="AC164" s="176">
        <f>(AA155+AA156*X156/365)/365*0.67*X146*$R$6/100*(365-$R$17)</f>
        <v>0.27218571410345033</v>
      </c>
      <c r="AD164" s="141" t="s">
        <v>202</v>
      </c>
      <c r="AE164" s="65"/>
      <c r="AF164" s="320" t="s">
        <v>203</v>
      </c>
      <c r="AG164" s="476"/>
      <c r="AH164"/>
      <c r="AI164"/>
      <c r="AJ164" s="245"/>
      <c r="AK164"/>
      <c r="AL164" s="96" t="s">
        <v>228</v>
      </c>
      <c r="AM164" s="85" t="s">
        <v>66</v>
      </c>
      <c r="AN164" s="176">
        <f>(AM155+AM156*AJ156/365)/365*0.67*AJ146*$R$6/100*$R$17</f>
        <v>0.19490555656437597</v>
      </c>
      <c r="AO164" s="176">
        <f>(AM155+AM156*AJ156/365)/365*0.67*AJ146*$R$6/100*(365-$R$17)</f>
        <v>0.19490555656437597</v>
      </c>
      <c r="AP164" s="141" t="s">
        <v>202</v>
      </c>
      <c r="AQ164" s="65"/>
      <c r="AR164" s="474" t="s">
        <v>203</v>
      </c>
    </row>
    <row r="165" spans="21:44" x14ac:dyDescent="0.25">
      <c r="U165" s="275"/>
      <c r="Z165" s="96" t="s">
        <v>230</v>
      </c>
      <c r="AA165" s="85" t="s">
        <v>66</v>
      </c>
      <c r="AB165" s="176">
        <f>(AA152+AA153*X153/365)/365*0.67*X146*$R$6/100*$R$17*(1+$R$7)</f>
        <v>0.16915582717602917</v>
      </c>
      <c r="AC165" s="176">
        <f>(AA152+AA153*X153/365)/365*0.67*X146*$R$6/100*(365-$R$17)*(1+$R$7)</f>
        <v>0.16915582717602917</v>
      </c>
      <c r="AD165" s="141"/>
      <c r="AE165" s="65"/>
      <c r="AF165" s="320" t="s">
        <v>203</v>
      </c>
      <c r="AG165" s="476"/>
      <c r="AH165"/>
      <c r="AI165"/>
      <c r="AJ165"/>
      <c r="AK165"/>
      <c r="AL165" s="96" t="s">
        <v>230</v>
      </c>
      <c r="AM165" s="85" t="s">
        <v>66</v>
      </c>
      <c r="AN165" s="176">
        <f>(AM152+AM153*AJ153/365)/365*0.67*AJ146*$R$6/100*$R$17*(1+$R$7)</f>
        <v>0.13718376787155659</v>
      </c>
      <c r="AO165" s="176">
        <f>(AM152+AM153*AJ153/365)/365*0.67*AJ146*$R$6/100*(365-$R$17)*(1+$R$7)</f>
        <v>0.13718376787155659</v>
      </c>
      <c r="AP165" s="141"/>
      <c r="AQ165" s="65"/>
      <c r="AR165" s="474" t="s">
        <v>203</v>
      </c>
    </row>
    <row r="166" spans="21:44" x14ac:dyDescent="0.25">
      <c r="U166" s="275"/>
      <c r="Z166" s="96" t="s">
        <v>229</v>
      </c>
      <c r="AA166" s="85" t="s">
        <v>66</v>
      </c>
      <c r="AB166" s="176">
        <f>(AA155+AA156*X156/365)/365*0.67*X146*$R$6/100*$R$17*(1+$R$7)</f>
        <v>0.10887428564138013</v>
      </c>
      <c r="AC166" s="176">
        <f>(AA155+AA156*X156/365)/365*0.67*X146*$R$6/100*(365-$R$17)*(1+$R$7)</f>
        <v>0.10887428564138013</v>
      </c>
      <c r="AD166" s="141" t="s">
        <v>202</v>
      </c>
      <c r="AE166" s="65"/>
      <c r="AF166" s="320" t="s">
        <v>203</v>
      </c>
      <c r="AG166" s="476"/>
      <c r="AH166"/>
      <c r="AI166"/>
      <c r="AJ166"/>
      <c r="AK166"/>
      <c r="AL166" s="96" t="s">
        <v>229</v>
      </c>
      <c r="AM166" s="85" t="s">
        <v>66</v>
      </c>
      <c r="AN166" s="176">
        <f>(AM155+AM156*AJ156/365)/365*0.67*AJ146*$R$6/100*$R$17*(1+$R$7)</f>
        <v>7.7962222625750394E-2</v>
      </c>
      <c r="AO166" s="176">
        <f>(AM155+AM156*AJ156/365)/365*0.67*AJ146*$R$6/100*(365-$R$17)*(1+$R$7)</f>
        <v>7.7962222625750394E-2</v>
      </c>
      <c r="AP166" s="141" t="s">
        <v>202</v>
      </c>
      <c r="AQ166" s="65"/>
      <c r="AR166" s="474" t="s">
        <v>203</v>
      </c>
    </row>
    <row r="167" spans="21:44" x14ac:dyDescent="0.25">
      <c r="U167" s="275"/>
      <c r="Z167" s="96" t="s">
        <v>246</v>
      </c>
      <c r="AA167" s="85" t="s">
        <v>66</v>
      </c>
      <c r="AB167" s="258">
        <f>(AA152+AA153*X153/365)/365*0.67*X146*$R$6/100*$R$17*(1+$R$8*X158)</f>
        <v>0.37214281978726416</v>
      </c>
      <c r="AC167" s="258">
        <f>(AA152+AA153*X153/365)/365*0.67*X146*$R$6/100*(365-$R$17)*(1+$R$8*X158)</f>
        <v>0.37214281978726416</v>
      </c>
      <c r="AD167" s="141" t="s">
        <v>202</v>
      </c>
      <c r="AE167" s="65"/>
      <c r="AF167" s="320" t="s">
        <v>203</v>
      </c>
      <c r="AG167" s="476"/>
      <c r="AH167"/>
      <c r="AI167"/>
      <c r="AJ167"/>
      <c r="AK167"/>
      <c r="AL167" s="96" t="s">
        <v>246</v>
      </c>
      <c r="AM167" s="85" t="s">
        <v>66</v>
      </c>
      <c r="AN167" s="258">
        <f>(AM152+AM153*AJ153/365)/365*0.67*AJ146*$R$6/100*$R$17*(1+$R$8*AJ158)</f>
        <v>0.30180428931742448</v>
      </c>
      <c r="AO167" s="258">
        <f>(AM152+AM153*AJ153/365)/365*0.67*AJ146*$R$6/100*(365-$R$17)*(1+$R$8*AJ158)</f>
        <v>0.30180428931742448</v>
      </c>
      <c r="AP167" s="141" t="s">
        <v>202</v>
      </c>
      <c r="AQ167" s="65"/>
      <c r="AR167" s="474" t="s">
        <v>203</v>
      </c>
    </row>
    <row r="168" spans="21:44" x14ac:dyDescent="0.25">
      <c r="U168" s="275"/>
      <c r="Z168" s="96" t="s">
        <v>247</v>
      </c>
      <c r="AA168" s="85" t="s">
        <v>66</v>
      </c>
      <c r="AB168" s="202"/>
      <c r="AC168" s="202"/>
      <c r="AE168" s="65"/>
      <c r="AF168" s="320" t="s">
        <v>203</v>
      </c>
      <c r="AG168" s="476"/>
      <c r="AH168"/>
      <c r="AI168"/>
      <c r="AJ168"/>
      <c r="AK168"/>
      <c r="AL168" s="96" t="s">
        <v>247</v>
      </c>
      <c r="AM168" s="85" t="s">
        <v>66</v>
      </c>
      <c r="AN168" s="202"/>
      <c r="AO168" s="202"/>
      <c r="AP168" s="202"/>
      <c r="AQ168" s="65"/>
      <c r="AR168" s="474" t="s">
        <v>203</v>
      </c>
    </row>
    <row r="169" spans="21:44" x14ac:dyDescent="0.25">
      <c r="U169" s="275"/>
      <c r="Z169" s="96" t="s">
        <v>67</v>
      </c>
      <c r="AA169" s="85" t="s">
        <v>66</v>
      </c>
      <c r="AB169" s="176">
        <f>(_xlfn.AGGREGATE(9,6,AB152,AB153,AB155,AB156)/365)*0.67*X146*$R$9/100*$R$17</f>
        <v>6.6502753400410226</v>
      </c>
      <c r="AC169" s="176">
        <f>(_xlfn.AGGREGATE(9,6,AB152,AB153,AB155,AB156)/365)*0.67*X146*$R$9/100*(365-$R$17)</f>
        <v>6.6502753400410226</v>
      </c>
      <c r="AD169" s="141" t="s">
        <v>184</v>
      </c>
      <c r="AE169" s="65"/>
      <c r="AF169" s="320" t="s">
        <v>203</v>
      </c>
      <c r="AG169" s="476"/>
      <c r="AH169"/>
      <c r="AI169"/>
      <c r="AJ169"/>
      <c r="AK169"/>
      <c r="AL169" s="96" t="s">
        <v>67</v>
      </c>
      <c r="AM169" s="85" t="s">
        <v>66</v>
      </c>
      <c r="AN169" s="176">
        <f>(_xlfn.AGGREGATE(9,6,AN152,AN153,AN155,AN156)/365)*0.67*AJ146*$R$9/100*$R$17</f>
        <v>5.0351883764336973</v>
      </c>
      <c r="AO169" s="176">
        <f>(_xlfn.AGGREGATE(9,6,AN152,AN153,AN155,AN156)/365)*0.67*AJ146*$R$9/100*(365-$R$17)</f>
        <v>5.0351883764336973</v>
      </c>
      <c r="AP169" s="141" t="s">
        <v>184</v>
      </c>
      <c r="AQ169" s="65"/>
      <c r="AR169" s="474" t="s">
        <v>203</v>
      </c>
    </row>
    <row r="170" spans="21:44" x14ac:dyDescent="0.25">
      <c r="U170" s="275"/>
      <c r="Z170" s="21"/>
      <c r="AA170" s="5"/>
      <c r="AB170" s="5"/>
      <c r="AC170" s="5"/>
      <c r="AD170" s="204"/>
      <c r="AE170" s="125" t="s">
        <v>71</v>
      </c>
      <c r="AF170" s="320" t="s">
        <v>203</v>
      </c>
      <c r="AG170" s="476"/>
      <c r="AH170"/>
      <c r="AI170"/>
      <c r="AJ170"/>
      <c r="AK170"/>
      <c r="AL170" s="21"/>
      <c r="AM170" s="5"/>
      <c r="AN170" s="5"/>
      <c r="AO170" s="5"/>
      <c r="AP170" s="204"/>
      <c r="AQ170" s="125" t="s">
        <v>71</v>
      </c>
      <c r="AR170" s="474" t="s">
        <v>203</v>
      </c>
    </row>
    <row r="171" spans="21:44" x14ac:dyDescent="0.25">
      <c r="U171" s="275"/>
      <c r="Z171" s="97" t="s">
        <v>68</v>
      </c>
      <c r="AA171" s="85" t="s">
        <v>66</v>
      </c>
      <c r="AB171" s="93">
        <f xml:space="preserve"> _xlfn.AGGREGATE(9, 6, AB169:AC169, AB163:AC164,AB160)</f>
        <v>14.770367009288424</v>
      </c>
      <c r="AC171" s="176"/>
      <c r="AD171" s="141" t="s">
        <v>118</v>
      </c>
      <c r="AE171" s="65"/>
      <c r="AF171" s="320" t="s">
        <v>203</v>
      </c>
      <c r="AG171" s="476"/>
      <c r="AH171"/>
      <c r="AI171"/>
      <c r="AJ171"/>
      <c r="AK171"/>
      <c r="AL171" s="97" t="s">
        <v>68</v>
      </c>
      <c r="AM171" s="85" t="s">
        <v>66</v>
      </c>
      <c r="AN171" s="93">
        <f xml:space="preserve"> _xlfn.AGGREGATE(9, 6, AN169:AO169, AN163:AO164,AN160)</f>
        <v>11.206005753905751</v>
      </c>
      <c r="AO171" s="176"/>
      <c r="AP171" s="141" t="s">
        <v>118</v>
      </c>
      <c r="AQ171" s="65"/>
      <c r="AR171" s="474" t="s">
        <v>203</v>
      </c>
    </row>
    <row r="172" spans="21:44" x14ac:dyDescent="0.25">
      <c r="U172" s="275"/>
      <c r="Z172" s="97" t="s">
        <v>248</v>
      </c>
      <c r="AA172" s="85" t="s">
        <v>66</v>
      </c>
      <c r="AB172" s="259">
        <f xml:space="preserve"> _xlfn.AGGREGATE(9, 6, AB169:AC169, AB167:AC168,AB160,AB164:AC164)</f>
        <v>14.668873512982806</v>
      </c>
      <c r="AC172" s="85"/>
      <c r="AD172" s="141"/>
      <c r="AE172" s="65"/>
      <c r="AF172" s="320" t="s">
        <v>203</v>
      </c>
      <c r="AG172" s="476"/>
      <c r="AH172"/>
      <c r="AI172"/>
      <c r="AJ172"/>
      <c r="AK172"/>
      <c r="AL172" s="97" t="s">
        <v>248</v>
      </c>
      <c r="AM172" s="85" t="s">
        <v>66</v>
      </c>
      <c r="AN172" s="259">
        <f xml:space="preserve"> _xlfn.AGGREGATE(9, 6, AN169:AO169, AN167:AO168,AN160,AN164:AO164)</f>
        <v>11.123695493182817</v>
      </c>
      <c r="AO172" s="85"/>
      <c r="AP172" s="141"/>
      <c r="AQ172" s="65"/>
      <c r="AR172" s="474" t="s">
        <v>203</v>
      </c>
    </row>
    <row r="173" spans="21:44" x14ac:dyDescent="0.25">
      <c r="U173" s="275"/>
      <c r="Z173" s="54"/>
      <c r="AA173" s="55" t="s">
        <v>238</v>
      </c>
      <c r="AB173" s="14" t="s">
        <v>381</v>
      </c>
      <c r="AC173" s="15" t="s">
        <v>382</v>
      </c>
      <c r="AD173" s="141"/>
      <c r="AE173" s="65"/>
      <c r="AF173" s="320" t="s">
        <v>203</v>
      </c>
      <c r="AG173" s="476"/>
      <c r="AH173"/>
      <c r="AI173"/>
      <c r="AJ173"/>
      <c r="AK173"/>
      <c r="AL173" s="54"/>
      <c r="AM173" s="55" t="s">
        <v>238</v>
      </c>
      <c r="AN173" s="14" t="s">
        <v>381</v>
      </c>
      <c r="AO173" s="15" t="s">
        <v>382</v>
      </c>
      <c r="AP173" s="141"/>
      <c r="AQ173" s="65"/>
      <c r="AR173" s="474" t="s">
        <v>203</v>
      </c>
    </row>
    <row r="174" spans="21:44" x14ac:dyDescent="0.25">
      <c r="U174" s="275"/>
      <c r="Z174" s="52" t="s">
        <v>421</v>
      </c>
      <c r="AA174" s="333">
        <f>AB160</f>
        <v>7.9665765119330947E-2</v>
      </c>
      <c r="AB174" s="333">
        <f xml:space="preserve"> _xlfn.AGGREGATE(9, 6, AB169, AB167:AB168,AB164)</f>
        <v>7.2946038739317371</v>
      </c>
      <c r="AC174" s="334">
        <f xml:space="preserve"> _xlfn.AGGREGATE(9, 6, AC169, AC167:AC168,AC164)</f>
        <v>7.2946038739317371</v>
      </c>
      <c r="AD174" s="141"/>
      <c r="AE174" s="65"/>
      <c r="AF174" s="320" t="s">
        <v>203</v>
      </c>
      <c r="AG174" s="476"/>
      <c r="AH174"/>
      <c r="AI174"/>
      <c r="AJ174"/>
      <c r="AK174"/>
      <c r="AL174" s="52" t="s">
        <v>421</v>
      </c>
      <c r="AM174" s="333">
        <f>AN160</f>
        <v>5.9899048551824333E-2</v>
      </c>
      <c r="AN174" s="333">
        <f xml:space="preserve"> _xlfn.AGGREGATE(9, 6, AN169, AN167:AN168,AN164)</f>
        <v>5.5318982223154984</v>
      </c>
      <c r="AO174" s="334">
        <f xml:space="preserve"> _xlfn.AGGREGATE(9, 6, AO169, AO167:AO168,AO164)</f>
        <v>5.5318982223154984</v>
      </c>
      <c r="AP174" s="141"/>
      <c r="AQ174" s="65"/>
      <c r="AR174" s="474" t="s">
        <v>203</v>
      </c>
    </row>
    <row r="175" spans="21:44" x14ac:dyDescent="0.25">
      <c r="U175" s="275"/>
      <c r="Z175" s="97"/>
      <c r="AA175" s="85"/>
      <c r="AB175" s="85"/>
      <c r="AC175" s="85"/>
      <c r="AD175" s="141"/>
      <c r="AE175" s="65"/>
      <c r="AF175" s="320" t="s">
        <v>203</v>
      </c>
      <c r="AG175" s="476"/>
      <c r="AH175"/>
      <c r="AI175"/>
      <c r="AJ175"/>
      <c r="AK175"/>
      <c r="AL175" s="97"/>
      <c r="AM175" s="85"/>
      <c r="AN175" s="85"/>
      <c r="AO175" s="85"/>
      <c r="AP175" s="141"/>
      <c r="AQ175" s="65"/>
      <c r="AR175" s="474" t="s">
        <v>203</v>
      </c>
    </row>
    <row r="176" spans="21:44" x14ac:dyDescent="0.25">
      <c r="U176" s="275"/>
      <c r="Z176" s="96" t="s">
        <v>181</v>
      </c>
      <c r="AA176" s="85"/>
      <c r="AB176" s="176"/>
      <c r="AC176" s="176"/>
      <c r="AD176" s="141"/>
      <c r="AE176" s="65"/>
      <c r="AF176" s="320" t="s">
        <v>203</v>
      </c>
      <c r="AG176" s="476"/>
      <c r="AH176"/>
      <c r="AI176"/>
      <c r="AJ176"/>
      <c r="AK176"/>
      <c r="AL176" s="96" t="s">
        <v>181</v>
      </c>
      <c r="AM176" s="85"/>
      <c r="AN176" s="176"/>
      <c r="AO176" s="176"/>
      <c r="AP176" s="141"/>
      <c r="AQ176" s="65"/>
      <c r="AR176" s="474" t="s">
        <v>203</v>
      </c>
    </row>
    <row r="177" spans="21:44" x14ac:dyDescent="0.25">
      <c r="U177" s="275"/>
      <c r="Z177" s="96" t="s">
        <v>185</v>
      </c>
      <c r="AA177" s="84" t="s">
        <v>13</v>
      </c>
      <c r="AB177" s="176">
        <f>AB171*$R$14</f>
        <v>412.09323955914704</v>
      </c>
      <c r="AC177" s="176"/>
      <c r="AD177" s="141" t="s">
        <v>117</v>
      </c>
      <c r="AE177" s="65"/>
      <c r="AF177" s="320" t="s">
        <v>203</v>
      </c>
      <c r="AG177" s="476"/>
      <c r="AH177"/>
      <c r="AI177"/>
      <c r="AJ177"/>
      <c r="AK177"/>
      <c r="AL177" s="96" t="s">
        <v>185</v>
      </c>
      <c r="AM177" s="84" t="s">
        <v>13</v>
      </c>
      <c r="AN177" s="176">
        <f>AN171*$R$14</f>
        <v>312.64756053397042</v>
      </c>
      <c r="AO177" s="176"/>
      <c r="AP177" s="141" t="s">
        <v>117</v>
      </c>
      <c r="AQ177" s="65"/>
      <c r="AR177" s="474" t="s">
        <v>203</v>
      </c>
    </row>
    <row r="178" spans="21:44" x14ac:dyDescent="0.25">
      <c r="U178" s="275"/>
      <c r="Z178" s="96" t="s">
        <v>249</v>
      </c>
      <c r="AA178" s="84" t="s">
        <v>13</v>
      </c>
      <c r="AB178" s="258">
        <f>AB172*$R$14</f>
        <v>409.26157101222026</v>
      </c>
      <c r="AC178" s="176"/>
      <c r="AD178" s="141" t="s">
        <v>117</v>
      </c>
      <c r="AE178" s="65"/>
      <c r="AF178" s="320" t="s">
        <v>203</v>
      </c>
      <c r="AG178" s="476"/>
      <c r="AH178"/>
      <c r="AI178"/>
      <c r="AJ178"/>
      <c r="AK178"/>
      <c r="AL178" s="96" t="s">
        <v>249</v>
      </c>
      <c r="AM178" s="84" t="s">
        <v>13</v>
      </c>
      <c r="AN178" s="258">
        <f>AN172*$R$14</f>
        <v>310.35110425980059</v>
      </c>
      <c r="AO178" s="176"/>
      <c r="AP178" s="141" t="s">
        <v>117</v>
      </c>
      <c r="AQ178" s="65"/>
      <c r="AR178" s="474" t="s">
        <v>203</v>
      </c>
    </row>
    <row r="179" spans="21:44" x14ac:dyDescent="0.25">
      <c r="U179" s="275"/>
      <c r="Z179" s="25"/>
      <c r="AA179" s="55" t="s">
        <v>238</v>
      </c>
      <c r="AB179" s="14" t="s">
        <v>381</v>
      </c>
      <c r="AC179" s="15" t="s">
        <v>382</v>
      </c>
      <c r="AE179" s="18"/>
      <c r="AF179" s="320" t="s">
        <v>203</v>
      </c>
      <c r="AG179" s="476"/>
      <c r="AH179"/>
      <c r="AI179"/>
      <c r="AJ179"/>
      <c r="AK179"/>
      <c r="AL179" s="25"/>
      <c r="AM179" s="55" t="s">
        <v>238</v>
      </c>
      <c r="AN179" s="14" t="s">
        <v>381</v>
      </c>
      <c r="AO179" s="15" t="s">
        <v>382</v>
      </c>
      <c r="AP179" s="202"/>
      <c r="AQ179" s="18"/>
      <c r="AR179" s="474" t="s">
        <v>203</v>
      </c>
    </row>
    <row r="180" spans="21:44" x14ac:dyDescent="0.25">
      <c r="U180" s="275"/>
      <c r="Z180" s="29" t="s">
        <v>422</v>
      </c>
      <c r="AA180" s="333">
        <f>AA174*$R$14</f>
        <v>2.2226748468293334</v>
      </c>
      <c r="AB180" s="333">
        <f>AB174*$R$14</f>
        <v>203.51944808269545</v>
      </c>
      <c r="AC180" s="334">
        <f>AC174*$R$14</f>
        <v>203.51944808269545</v>
      </c>
      <c r="AD180" s="335" t="s">
        <v>117</v>
      </c>
      <c r="AE180" s="23"/>
      <c r="AF180" s="320" t="s">
        <v>203</v>
      </c>
      <c r="AG180" s="476"/>
      <c r="AH180"/>
      <c r="AI180"/>
      <c r="AJ180"/>
      <c r="AK180"/>
      <c r="AL180" s="29" t="s">
        <v>422</v>
      </c>
      <c r="AM180" s="333">
        <f>AM174*$R$14</f>
        <v>1.6711834545958988</v>
      </c>
      <c r="AN180" s="333">
        <f>AN174*$R$14</f>
        <v>154.3399604026024</v>
      </c>
      <c r="AO180" s="334">
        <f>AO174*$R$14</f>
        <v>154.3399604026024</v>
      </c>
      <c r="AP180" s="335" t="s">
        <v>117</v>
      </c>
      <c r="AQ180" s="23"/>
      <c r="AR180" s="474" t="s">
        <v>203</v>
      </c>
    </row>
    <row r="181" spans="21:44" x14ac:dyDescent="0.25">
      <c r="AF181" s="320" t="s">
        <v>203</v>
      </c>
      <c r="AG181"/>
      <c r="AH181"/>
      <c r="AI181"/>
      <c r="AJ181"/>
      <c r="AK181"/>
      <c r="AL181"/>
      <c r="AM181"/>
      <c r="AN181"/>
      <c r="AO181"/>
      <c r="AP181" s="202"/>
      <c r="AQ181"/>
      <c r="AR181" s="474" t="s">
        <v>203</v>
      </c>
    </row>
    <row r="182" spans="21:44" x14ac:dyDescent="0.25">
      <c r="U182" s="275"/>
      <c r="V182" s="670" t="s">
        <v>275</v>
      </c>
      <c r="AF182" s="320" t="s">
        <v>203</v>
      </c>
      <c r="AG182" s="476"/>
      <c r="AH182" s="670" t="s">
        <v>462</v>
      </c>
      <c r="AI182"/>
      <c r="AJ182"/>
      <c r="AK182"/>
      <c r="AL182"/>
      <c r="AM182"/>
      <c r="AN182"/>
      <c r="AO182"/>
      <c r="AP182" s="202"/>
      <c r="AQ182"/>
      <c r="AR182" s="474" t="s">
        <v>203</v>
      </c>
    </row>
    <row r="183" spans="21:44" x14ac:dyDescent="0.25">
      <c r="U183" s="275"/>
      <c r="W183" s="670" t="s">
        <v>65</v>
      </c>
      <c r="X183">
        <f>INDEX($Q$2:$S$3, 2,MATCH(W183,$Q$2:$S$2,0))</f>
        <v>0.18</v>
      </c>
      <c r="Y183" t="s">
        <v>63</v>
      </c>
      <c r="Z183" s="103"/>
      <c r="AA183" s="191"/>
      <c r="AB183" s="191"/>
      <c r="AC183" s="191"/>
      <c r="AD183" s="237"/>
      <c r="AE183" s="238"/>
      <c r="AF183" s="320" t="s">
        <v>203</v>
      </c>
      <c r="AG183" s="476"/>
      <c r="AH183"/>
      <c r="AI183" s="670" t="s">
        <v>65</v>
      </c>
      <c r="AJ183">
        <f>INDEX($Q$2:$S$3, 2,MATCH(AI183,$Q$2:$S$2,0))</f>
        <v>0.18</v>
      </c>
      <c r="AK183" t="s">
        <v>63</v>
      </c>
      <c r="AL183" s="103"/>
      <c r="AM183" s="191"/>
      <c r="AN183" s="191"/>
      <c r="AO183" s="191"/>
      <c r="AP183" s="237"/>
      <c r="AQ183" s="238"/>
      <c r="AR183" s="474" t="s">
        <v>203</v>
      </c>
    </row>
    <row r="184" spans="21:44" x14ac:dyDescent="0.25">
      <c r="U184" s="275"/>
      <c r="W184" s="108" t="s">
        <v>93</v>
      </c>
      <c r="X184" s="109"/>
      <c r="Z184" s="239" t="s">
        <v>231</v>
      </c>
      <c r="AA184" s="194"/>
      <c r="AB184" s="194"/>
      <c r="AC184" s="194"/>
      <c r="AD184" s="240"/>
      <c r="AE184" s="241"/>
      <c r="AF184" s="320" t="s">
        <v>203</v>
      </c>
      <c r="AG184" s="476"/>
      <c r="AH184"/>
      <c r="AI184" s="108" t="s">
        <v>93</v>
      </c>
      <c r="AJ184" s="109"/>
      <c r="AK184"/>
      <c r="AL184" s="239" t="s">
        <v>231</v>
      </c>
      <c r="AM184" s="194"/>
      <c r="AN184" s="194"/>
      <c r="AO184" s="194"/>
      <c r="AP184" s="240"/>
      <c r="AQ184" s="241"/>
      <c r="AR184" s="474" t="s">
        <v>203</v>
      </c>
    </row>
    <row r="185" spans="21:44" x14ac:dyDescent="0.25">
      <c r="U185" s="275"/>
      <c r="W185" s="110" t="s">
        <v>81</v>
      </c>
      <c r="X185" s="665">
        <v>180</v>
      </c>
      <c r="Z185" s="126"/>
      <c r="AA185" s="192"/>
      <c r="AB185" s="192"/>
      <c r="AC185" s="192"/>
      <c r="AD185" s="242"/>
      <c r="AE185" s="243"/>
      <c r="AF185" s="320" t="s">
        <v>203</v>
      </c>
      <c r="AG185" s="476"/>
      <c r="AH185"/>
      <c r="AI185" s="110" t="s">
        <v>81</v>
      </c>
      <c r="AJ185" s="665">
        <v>180</v>
      </c>
      <c r="AK185"/>
      <c r="AL185" s="126"/>
      <c r="AM185" s="192"/>
      <c r="AN185" s="192"/>
      <c r="AO185" s="192"/>
      <c r="AP185" s="242"/>
      <c r="AQ185" s="243"/>
      <c r="AR185" s="474" t="s">
        <v>203</v>
      </c>
    </row>
    <row r="186" spans="21:44" x14ac:dyDescent="0.25">
      <c r="U186" s="275"/>
      <c r="W186" s="228" t="s">
        <v>82</v>
      </c>
      <c r="X186" s="666">
        <v>24</v>
      </c>
      <c r="Z186" s="127"/>
      <c r="AA186" s="54" t="s">
        <v>5</v>
      </c>
      <c r="AB186" s="187" t="s">
        <v>6</v>
      </c>
      <c r="AC186" s="128"/>
      <c r="AD186" s="203"/>
      <c r="AE186" s="124"/>
      <c r="AF186" s="320" t="s">
        <v>203</v>
      </c>
      <c r="AG186" s="476"/>
      <c r="AH186"/>
      <c r="AI186" s="228" t="s">
        <v>82</v>
      </c>
      <c r="AJ186" s="666">
        <v>24</v>
      </c>
      <c r="AK186"/>
      <c r="AL186" s="127"/>
      <c r="AM186" s="54" t="s">
        <v>5</v>
      </c>
      <c r="AN186" s="187" t="s">
        <v>6</v>
      </c>
      <c r="AO186" s="128"/>
      <c r="AP186" s="203"/>
      <c r="AQ186" s="124"/>
      <c r="AR186" s="474" t="s">
        <v>203</v>
      </c>
    </row>
    <row r="187" spans="21:44" x14ac:dyDescent="0.25">
      <c r="U187" s="275"/>
      <c r="Z187" s="96" t="s">
        <v>145</v>
      </c>
      <c r="AA187" s="183">
        <f>INDEX(Normtal!$Q$3:$AC$551,MATCH('CH4_Gylle_Stald&amp;Lager'!V182,Normtal!$Q$3:$Q$551,0),9)*(X185/365)*(X186/24)</f>
        <v>172.46778533678432</v>
      </c>
      <c r="AB187" s="78"/>
      <c r="AC187" s="44"/>
      <c r="AD187" s="204" t="s">
        <v>147</v>
      </c>
      <c r="AE187" s="65"/>
      <c r="AF187" s="320" t="s">
        <v>203</v>
      </c>
      <c r="AG187" s="476"/>
      <c r="AH187"/>
      <c r="AI187"/>
      <c r="AJ187"/>
      <c r="AK187"/>
      <c r="AL187" s="96" t="s">
        <v>145</v>
      </c>
      <c r="AM187" s="183">
        <f>INDEX(Normtal!$Q$3:$AC$551,MATCH('CH4_Gylle_Stald&amp;Lager'!AH182,Normtal!$Q$3:$Q$551,0),9)*(AJ185/365)*(AJ186/24)</f>
        <v>132.364243543941</v>
      </c>
      <c r="AN187" s="78"/>
      <c r="AO187" s="44"/>
      <c r="AP187" s="204" t="s">
        <v>147</v>
      </c>
      <c r="AQ187" s="65"/>
      <c r="AR187" s="474" t="s">
        <v>203</v>
      </c>
    </row>
    <row r="188" spans="21:44" x14ac:dyDescent="0.25">
      <c r="U188" s="275"/>
      <c r="V188" s="45"/>
      <c r="W188" s="229" t="s">
        <v>221</v>
      </c>
      <c r="X188" s="230"/>
      <c r="Z188" s="96"/>
      <c r="AA188" s="667" t="s">
        <v>278</v>
      </c>
      <c r="AB188" s="220" t="s">
        <v>210</v>
      </c>
      <c r="AC188" s="5"/>
      <c r="AD188" s="226"/>
      <c r="AE188" s="65"/>
      <c r="AF188" s="320" t="s">
        <v>203</v>
      </c>
      <c r="AG188" s="476"/>
      <c r="AH188" s="45"/>
      <c r="AI188" s="229" t="s">
        <v>221</v>
      </c>
      <c r="AJ188" s="230"/>
      <c r="AK188"/>
      <c r="AL188" s="96"/>
      <c r="AM188" s="667" t="s">
        <v>602</v>
      </c>
      <c r="AN188" s="220" t="s">
        <v>210</v>
      </c>
      <c r="AO188" s="5"/>
      <c r="AP188" s="226"/>
      <c r="AQ188" s="65"/>
      <c r="AR188" s="474" t="s">
        <v>203</v>
      </c>
    </row>
    <row r="189" spans="21:44" x14ac:dyDescent="0.25">
      <c r="U189" s="275"/>
      <c r="V189" s="5"/>
      <c r="W189" s="231" t="s">
        <v>224</v>
      </c>
      <c r="X189" s="669">
        <v>0.37</v>
      </c>
      <c r="Z189" s="97" t="s">
        <v>115</v>
      </c>
      <c r="AA189" s="183">
        <f>INDEX(Normtal!$Q$3:$AC$551,MATCH('CH4_Gylle_Stald&amp;Lager'!AA188,Normtal!$AA$3:$AA$551,0),9)*$X190/365</f>
        <v>65.585666146127153</v>
      </c>
      <c r="AB189" s="183" t="e">
        <f>INDEX(Normtal!$Q$3:$AC$551,MATCH('CH4_Gylle_Stald&amp;Lager'!AB188,Normtal!$AA$3:$AA$551,0),9)*$X190/365</f>
        <v>#N/A</v>
      </c>
      <c r="AC189" s="44"/>
      <c r="AD189" s="204"/>
      <c r="AE189" s="65"/>
      <c r="AF189" s="320" t="s">
        <v>203</v>
      </c>
      <c r="AG189" s="476"/>
      <c r="AH189" s="5"/>
      <c r="AI189" s="231" t="s">
        <v>224</v>
      </c>
      <c r="AJ189" s="669">
        <v>0.4</v>
      </c>
      <c r="AK189"/>
      <c r="AL189" s="97" t="s">
        <v>115</v>
      </c>
      <c r="AM189" s="183">
        <f>INDEX(Normtal!$Q$3:$AC$551,MATCH('CH4_Gylle_Stald&amp;Lager'!AM188,Normtal!$AA$3:$AA$551,0),9)*$AJ190/365</f>
        <v>54.416411234731299</v>
      </c>
      <c r="AN189" s="183" t="e">
        <f>INDEX(Normtal!$Q$3:$AC$551,MATCH('CH4_Gylle_Stald&amp;Lager'!AN188,Normtal!$AA$3:$AA$551,0),9)*$AJ190/365</f>
        <v>#N/A</v>
      </c>
      <c r="AO189" s="44"/>
      <c r="AP189" s="204"/>
      <c r="AQ189" s="65"/>
      <c r="AR189" s="474" t="s">
        <v>203</v>
      </c>
    </row>
    <row r="190" spans="21:44" x14ac:dyDescent="0.25">
      <c r="U190" s="275"/>
      <c r="W190" s="233" t="s">
        <v>223</v>
      </c>
      <c r="X190" s="583">
        <f>(365-X185*X186/24)*X189</f>
        <v>68.45</v>
      </c>
      <c r="Z190" s="97" t="s">
        <v>116</v>
      </c>
      <c r="AA190" s="183">
        <f>INDEX(Normtal!$Q$3:$AC$551,MATCH('CH4_Gylle_Stald&amp;Lager'!AA188,Normtal!$AA$3:$AA$551,0),7)*$X190/365</f>
        <v>16.582012500000001</v>
      </c>
      <c r="AB190" s="183" t="e">
        <f>INDEX(Normtal!$Q$3:$AC$551,MATCH('CH4_Gylle_Stald&amp;Lager'!AB188,Normtal!$AA$3:$AA$551,0),7)*$X190/365</f>
        <v>#N/A</v>
      </c>
      <c r="AC190" s="44"/>
      <c r="AD190" s="204"/>
      <c r="AE190" s="65"/>
      <c r="AF190" s="320" t="s">
        <v>203</v>
      </c>
      <c r="AG190" s="476"/>
      <c r="AH190"/>
      <c r="AI190" s="233" t="s">
        <v>223</v>
      </c>
      <c r="AJ190" s="583">
        <f>(365-AJ185*AJ186/24)*AJ189</f>
        <v>74</v>
      </c>
      <c r="AK190"/>
      <c r="AL190" s="97" t="s">
        <v>116</v>
      </c>
      <c r="AM190" s="183">
        <f>INDEX(Normtal!$Q$3:$AC$551,MATCH('CH4_Gylle_Stald&amp;Lager'!AM188,Normtal!$AA$3:$AA$551,0),7)*$AJ190/365</f>
        <v>11.951000000000002</v>
      </c>
      <c r="AN190" s="183" t="e">
        <f>INDEX(Normtal!$Q$3:$AC$551,MATCH('CH4_Gylle_Stald&amp;Lager'!AN188,Normtal!$AA$3:$AA$551,0),7)*$AJ190/365</f>
        <v>#N/A</v>
      </c>
      <c r="AO190" s="44"/>
      <c r="AP190" s="204"/>
      <c r="AQ190" s="65"/>
      <c r="AR190" s="474" t="s">
        <v>203</v>
      </c>
    </row>
    <row r="191" spans="21:44" x14ac:dyDescent="0.25">
      <c r="U191" s="275"/>
      <c r="W191" s="229" t="s">
        <v>222</v>
      </c>
      <c r="X191" s="230"/>
      <c r="Z191" s="225"/>
      <c r="AA191" s="667" t="s">
        <v>279</v>
      </c>
      <c r="AB191" s="667" t="s">
        <v>280</v>
      </c>
      <c r="AC191" s="5"/>
      <c r="AD191" s="227"/>
      <c r="AE191" s="65"/>
      <c r="AF191" s="320" t="s">
        <v>203</v>
      </c>
      <c r="AG191" s="476"/>
      <c r="AH191"/>
      <c r="AI191" s="229" t="s">
        <v>222</v>
      </c>
      <c r="AJ191" s="230"/>
      <c r="AK191"/>
      <c r="AL191" s="225"/>
      <c r="AM191" s="667" t="s">
        <v>603</v>
      </c>
      <c r="AN191" s="667" t="s">
        <v>604</v>
      </c>
      <c r="AO191" s="5"/>
      <c r="AP191" s="227"/>
      <c r="AQ191" s="65"/>
      <c r="AR191" s="474" t="s">
        <v>203</v>
      </c>
    </row>
    <row r="192" spans="21:44" x14ac:dyDescent="0.25">
      <c r="U192" s="275"/>
      <c r="W192" s="231" t="s">
        <v>224</v>
      </c>
      <c r="X192" s="232">
        <f>1-X189</f>
        <v>0.63</v>
      </c>
      <c r="Z192" s="97" t="s">
        <v>115</v>
      </c>
      <c r="AA192" s="183">
        <f>INDEX(Normtal!$Q$3:$AC$551,MATCH('CH4_Gylle_Stald&amp;Lager'!AA191,Normtal!$AA$3:$AA$551,0),9)*$X193/365</f>
        <v>44.669156402227138</v>
      </c>
      <c r="AB192" s="183">
        <f>INDEX(Normtal!$Q$3:$AC$551,MATCH('CH4_Gylle_Stald&amp;Lager'!AB191,Normtal!$AA$3:$AA$551,0),9)*$X193/365</f>
        <v>67.003734603340718</v>
      </c>
      <c r="AC192" s="44"/>
      <c r="AD192" s="204" t="s">
        <v>148</v>
      </c>
      <c r="AE192" s="65"/>
      <c r="AF192" s="320" t="s">
        <v>203</v>
      </c>
      <c r="AG192" s="476"/>
      <c r="AH192"/>
      <c r="AI192" s="231" t="s">
        <v>224</v>
      </c>
      <c r="AJ192" s="232">
        <f>1-AJ189</f>
        <v>0.6</v>
      </c>
      <c r="AK192"/>
      <c r="AL192" s="97" t="s">
        <v>115</v>
      </c>
      <c r="AM192" s="183">
        <f>INDEX(Normtal!$Q$3:$AC$551,MATCH('CH4_Gylle_Stald&amp;Lager'!AM191,Normtal!$AA$3:$AA$551,0),9)*$AJ193/365</f>
        <v>32.649846740838782</v>
      </c>
      <c r="AN192" s="183">
        <f>INDEX(Normtal!$Q$3:$AC$551,MATCH('CH4_Gylle_Stald&amp;Lager'!AN191,Normtal!$AA$3:$AA$551,0),9)*$AJ193/365</f>
        <v>48.974770111258174</v>
      </c>
      <c r="AO192" s="44"/>
      <c r="AP192" s="204" t="s">
        <v>148</v>
      </c>
      <c r="AQ192" s="65"/>
      <c r="AR192" s="474" t="s">
        <v>203</v>
      </c>
    </row>
    <row r="193" spans="21:44" x14ac:dyDescent="0.25">
      <c r="U193" s="275"/>
      <c r="V193" s="5"/>
      <c r="W193" s="233" t="s">
        <v>81</v>
      </c>
      <c r="X193" s="234">
        <f>(365-X185*X186/24)*X192</f>
        <v>116.55</v>
      </c>
      <c r="Z193" s="97" t="s">
        <v>116</v>
      </c>
      <c r="AA193" s="222">
        <f>INDEX(Normtal!$Q$3:$AC$551,MATCH('CH4_Gylle_Stald&amp;Lager'!AA191,Normtal!$AA$3:$AA$551,0),7)*$X193/365</f>
        <v>0</v>
      </c>
      <c r="AB193" s="222">
        <f>INDEX(Normtal!$Q$3:$AC$551,MATCH('CH4_Gylle_Stald&amp;Lager'!AB191,Normtal!$AA$3:$AA$551,0),7)*$X193/365</f>
        <v>470.57062499999995</v>
      </c>
      <c r="AC193" s="44"/>
      <c r="AD193" s="141"/>
      <c r="AE193" s="65"/>
      <c r="AF193" s="320" t="s">
        <v>203</v>
      </c>
      <c r="AG193" s="476"/>
      <c r="AH193" s="5"/>
      <c r="AI193" s="233" t="s">
        <v>81</v>
      </c>
      <c r="AJ193" s="234">
        <f>(365-AJ185*AJ186/24)*AJ192</f>
        <v>111</v>
      </c>
      <c r="AK193"/>
      <c r="AL193" s="97" t="s">
        <v>116</v>
      </c>
      <c r="AM193" s="222">
        <f>INDEX(Normtal!$Q$3:$AC$551,MATCH('CH4_Gylle_Stald&amp;Lager'!AM191,Normtal!$AA$3:$AA$551,0),7)*$AJ193/365</f>
        <v>0</v>
      </c>
      <c r="AN193" s="222">
        <f>INDEX(Normtal!$Q$3:$AC$551,MATCH('CH4_Gylle_Stald&amp;Lager'!AN191,Normtal!$AA$3:$AA$551,0),7)*$AJ193/365</f>
        <v>358.53000000000003</v>
      </c>
      <c r="AO193" s="44"/>
      <c r="AP193" s="141"/>
      <c r="AQ193" s="65"/>
      <c r="AR193" s="474" t="s">
        <v>203</v>
      </c>
    </row>
    <row r="194" spans="21:44" x14ac:dyDescent="0.25">
      <c r="U194" s="275"/>
      <c r="Z194" s="235" t="s">
        <v>225</v>
      </c>
      <c r="AA194" s="90">
        <f>_xlfn.AGGREGATE(9,6,AA187:AB187,AA189:AB189,AA192:AB192)</f>
        <v>349.7263424884793</v>
      </c>
      <c r="AB194" s="267">
        <f>INDEX(Normtal!$Q$3:$AC$551,MATCH('CH4_Gylle_Stald&amp;Lager'!V182,Normtal!$Q$3:$Q$551,0),9)</f>
        <v>349.7263424884793</v>
      </c>
      <c r="AC194" s="44"/>
      <c r="AD194" s="141"/>
      <c r="AE194" s="65"/>
      <c r="AF194" s="320" t="s">
        <v>203</v>
      </c>
      <c r="AG194" s="476"/>
      <c r="AH194"/>
      <c r="AI194"/>
      <c r="AJ194"/>
      <c r="AK194"/>
      <c r="AL194" s="235" t="s">
        <v>225</v>
      </c>
      <c r="AM194" s="90">
        <f>_xlfn.AGGREGATE(9,6,AM187:AN187,AM189:AN189,AM192:AN192)</f>
        <v>268.40527163076928</v>
      </c>
      <c r="AN194" s="267">
        <f>INDEX(Normtal!$Q$3:$AC$551,MATCH('CH4_Gylle_Stald&amp;Lager'!AH182,Normtal!$Q$3:$Q$551,0),9)</f>
        <v>268.40527163076928</v>
      </c>
      <c r="AO194" s="44"/>
      <c r="AP194" s="141"/>
      <c r="AQ194" s="65"/>
      <c r="AR194" s="474" t="s">
        <v>203</v>
      </c>
    </row>
    <row r="195" spans="21:44" x14ac:dyDescent="0.25">
      <c r="U195" s="275"/>
      <c r="W195" s="257" t="s">
        <v>245</v>
      </c>
      <c r="X195" s="668">
        <v>0.3</v>
      </c>
      <c r="Z195" s="96"/>
      <c r="AA195" s="85"/>
      <c r="AB195" s="93"/>
      <c r="AC195" s="93"/>
      <c r="AD195" s="141"/>
      <c r="AE195" s="65"/>
      <c r="AF195" s="320" t="s">
        <v>203</v>
      </c>
      <c r="AG195" s="476"/>
      <c r="AH195"/>
      <c r="AI195" s="257" t="s">
        <v>245</v>
      </c>
      <c r="AJ195" s="668">
        <v>0.3</v>
      </c>
      <c r="AK195"/>
      <c r="AL195" s="96"/>
      <c r="AM195" s="85"/>
      <c r="AN195" s="93"/>
      <c r="AO195" s="93"/>
      <c r="AP195" s="141"/>
      <c r="AQ195" s="65"/>
      <c r="AR195" s="474" t="s">
        <v>203</v>
      </c>
    </row>
    <row r="196" spans="21:44" x14ac:dyDescent="0.25">
      <c r="U196" s="275"/>
      <c r="Z196" s="96" t="s">
        <v>84</v>
      </c>
      <c r="AA196" s="85"/>
      <c r="AB196" s="85"/>
      <c r="AC196" s="85"/>
      <c r="AD196" s="141"/>
      <c r="AE196" s="65"/>
      <c r="AF196" s="320" t="s">
        <v>203</v>
      </c>
      <c r="AG196" s="476"/>
      <c r="AH196"/>
      <c r="AI196"/>
      <c r="AJ196"/>
      <c r="AK196"/>
      <c r="AL196" s="96" t="s">
        <v>84</v>
      </c>
      <c r="AM196" s="85"/>
      <c r="AN196" s="85"/>
      <c r="AO196" s="85"/>
      <c r="AP196" s="141"/>
      <c r="AQ196" s="65"/>
      <c r="AR196" s="474" t="s">
        <v>203</v>
      </c>
    </row>
    <row r="197" spans="21:44" x14ac:dyDescent="0.25">
      <c r="U197" s="275"/>
      <c r="W197" s="77" t="s">
        <v>226</v>
      </c>
      <c r="X197" s="236">
        <f>X185*X186/24+X190+X193</f>
        <v>365</v>
      </c>
      <c r="Z197" s="97" t="s">
        <v>62</v>
      </c>
      <c r="AA197" s="85" t="s">
        <v>66</v>
      </c>
      <c r="AB197" s="176">
        <f>(AA187)*0.67*X183*$R$10/100</f>
        <v>9.7758190084596089E-2</v>
      </c>
      <c r="AC197" s="176"/>
      <c r="AD197" s="141" t="s">
        <v>146</v>
      </c>
      <c r="AE197" s="65"/>
      <c r="AF197" s="320" t="s">
        <v>203</v>
      </c>
      <c r="AG197" s="476"/>
      <c r="AH197"/>
      <c r="AI197" s="77" t="s">
        <v>226</v>
      </c>
      <c r="AJ197" s="236">
        <f>AJ185*AJ186/24+AJ190+AJ193</f>
        <v>365</v>
      </c>
      <c r="AK197"/>
      <c r="AL197" s="97" t="s">
        <v>62</v>
      </c>
      <c r="AM197" s="85" t="s">
        <v>66</v>
      </c>
      <c r="AN197" s="176">
        <f>(AM187)*0.67*AJ183*$R$10/100</f>
        <v>7.5026700525576639E-2</v>
      </c>
      <c r="AO197" s="176"/>
      <c r="AP197" s="141" t="s">
        <v>146</v>
      </c>
      <c r="AQ197" s="65"/>
      <c r="AR197" s="474" t="s">
        <v>203</v>
      </c>
    </row>
    <row r="198" spans="21:44" x14ac:dyDescent="0.25">
      <c r="U198" s="275"/>
      <c r="Z198" s="177"/>
      <c r="AA198" s="85"/>
      <c r="AB198" s="85"/>
      <c r="AC198" s="85"/>
      <c r="AD198" s="141"/>
      <c r="AE198" s="65"/>
      <c r="AF198" s="320" t="s">
        <v>203</v>
      </c>
      <c r="AG198" s="476"/>
      <c r="AH198"/>
      <c r="AI198"/>
      <c r="AJ198"/>
      <c r="AK198"/>
      <c r="AL198" s="177"/>
      <c r="AM198" s="85"/>
      <c r="AN198" s="85"/>
      <c r="AO198" s="85"/>
      <c r="AP198" s="141"/>
      <c r="AQ198" s="65"/>
      <c r="AR198" s="474" t="s">
        <v>203</v>
      </c>
    </row>
    <row r="199" spans="21:44" x14ac:dyDescent="0.25">
      <c r="U199" s="275"/>
      <c r="X199" s="244"/>
      <c r="Z199" s="96" t="s">
        <v>188</v>
      </c>
      <c r="AA199" s="85"/>
      <c r="AB199" s="85" t="s">
        <v>180</v>
      </c>
      <c r="AC199" s="85" t="s">
        <v>182</v>
      </c>
      <c r="AD199" s="141"/>
      <c r="AE199" s="65"/>
      <c r="AF199" s="320" t="s">
        <v>203</v>
      </c>
      <c r="AG199" s="476"/>
      <c r="AH199"/>
      <c r="AI199"/>
      <c r="AJ199" s="244"/>
      <c r="AK199"/>
      <c r="AL199" s="96" t="s">
        <v>188</v>
      </c>
      <c r="AM199" s="85"/>
      <c r="AN199" s="85" t="s">
        <v>180</v>
      </c>
      <c r="AO199" s="85" t="s">
        <v>182</v>
      </c>
      <c r="AP199" s="141"/>
      <c r="AQ199" s="65"/>
      <c r="AR199" s="474" t="s">
        <v>203</v>
      </c>
    </row>
    <row r="200" spans="21:44" x14ac:dyDescent="0.25">
      <c r="U200" s="275"/>
      <c r="X200" s="245"/>
      <c r="Z200" s="96" t="s">
        <v>227</v>
      </c>
      <c r="AA200" s="85" t="s">
        <v>66</v>
      </c>
      <c r="AB200" s="176">
        <f>(AA189+AA190*X190/365)/365*0.67*X183*$R$6/100*$R$17</f>
        <v>0.51364895601346383</v>
      </c>
      <c r="AC200" s="176">
        <f>(AA189+AA190*X190/365)/365*0.67*X183*$R$6/100*(365-$R$17)</f>
        <v>0.51364895601346383</v>
      </c>
      <c r="AD200" s="141"/>
      <c r="AE200" s="65"/>
      <c r="AF200" s="320" t="s">
        <v>203</v>
      </c>
      <c r="AG200" s="476"/>
      <c r="AH200"/>
      <c r="AI200"/>
      <c r="AJ200" s="245"/>
      <c r="AK200"/>
      <c r="AL200" s="96" t="s">
        <v>227</v>
      </c>
      <c r="AM200" s="85" t="s">
        <v>66</v>
      </c>
      <c r="AN200" s="176">
        <f>(AM189+AM190*AJ190/365)/365*0.67*AJ183*$R$6/100*$R$17</f>
        <v>0.42499921548926439</v>
      </c>
      <c r="AO200" s="176">
        <f>(AM189+AM190*AJ190/365)/365*0.67*AJ183*$R$6/100*(365-$R$17)</f>
        <v>0.42499921548926439</v>
      </c>
      <c r="AP200" s="141"/>
      <c r="AQ200" s="65"/>
      <c r="AR200" s="474" t="s">
        <v>203</v>
      </c>
    </row>
    <row r="201" spans="21:44" x14ac:dyDescent="0.25">
      <c r="U201" s="275"/>
      <c r="X201" s="245"/>
      <c r="Z201" s="96" t="s">
        <v>228</v>
      </c>
      <c r="AA201" s="85" t="s">
        <v>66</v>
      </c>
      <c r="AB201" s="176">
        <f>(AA192+AA193*X193/365)/365*0.67*X183*$R$6/100*$R$17</f>
        <v>0.33400021625073273</v>
      </c>
      <c r="AC201" s="176">
        <f>(AA192+AA193*X193/365)/365*0.67*X183*$R$6/100*(365-$R$17)</f>
        <v>0.33400021625073273</v>
      </c>
      <c r="AD201" s="141" t="s">
        <v>202</v>
      </c>
      <c r="AE201" s="65"/>
      <c r="AF201" s="320" t="s">
        <v>203</v>
      </c>
      <c r="AG201" s="476"/>
      <c r="AH201"/>
      <c r="AI201"/>
      <c r="AJ201" s="245"/>
      <c r="AK201"/>
      <c r="AL201" s="96" t="s">
        <v>228</v>
      </c>
      <c r="AM201" s="85" t="s">
        <v>66</v>
      </c>
      <c r="AN201" s="176">
        <f>(AM192+AM193*AJ193/365)/365*0.67*AJ183*$R$6/100*$R$17</f>
        <v>0.2441294340505997</v>
      </c>
      <c r="AO201" s="176">
        <f>(AM192+AM193*AJ193/365)/365*0.67*AJ183*$R$6/100*(365-$R$17)</f>
        <v>0.2441294340505997</v>
      </c>
      <c r="AP201" s="141" t="s">
        <v>202</v>
      </c>
      <c r="AQ201" s="65"/>
      <c r="AR201" s="474" t="s">
        <v>203</v>
      </c>
    </row>
    <row r="202" spans="21:44" x14ac:dyDescent="0.25">
      <c r="U202" s="275"/>
      <c r="Z202" s="96" t="s">
        <v>230</v>
      </c>
      <c r="AA202" s="85" t="s">
        <v>66</v>
      </c>
      <c r="AB202" s="176">
        <f>(AA189+AA190*X190/365)/365*0.67*X183*$R$6/100*$R$17*(1+$R$7)</f>
        <v>0.20545958240538553</v>
      </c>
      <c r="AC202" s="176">
        <f>(AA189+AA190*X190/365)/365*0.67*X183*$R$6/100*(365-$R$17)*(1+$R$7)</f>
        <v>0.20545958240538553</v>
      </c>
      <c r="AD202" s="141"/>
      <c r="AE202" s="65"/>
      <c r="AF202" s="320" t="s">
        <v>203</v>
      </c>
      <c r="AG202" s="476"/>
      <c r="AH202"/>
      <c r="AI202"/>
      <c r="AJ202"/>
      <c r="AK202"/>
      <c r="AL202" s="96" t="s">
        <v>230</v>
      </c>
      <c r="AM202" s="85" t="s">
        <v>66</v>
      </c>
      <c r="AN202" s="176">
        <f>(AM189+AM190*AJ190/365)/365*0.67*AJ183*$R$6/100*$R$17*(1+$R$7)</f>
        <v>0.16999968619570577</v>
      </c>
      <c r="AO202" s="176">
        <f>(AM189+AM190*AJ190/365)/365*0.67*AJ183*$R$6/100*(365-$R$17)*(1+$R$7)</f>
        <v>0.16999968619570577</v>
      </c>
      <c r="AP202" s="141"/>
      <c r="AQ202" s="65"/>
      <c r="AR202" s="474" t="s">
        <v>203</v>
      </c>
    </row>
    <row r="203" spans="21:44" x14ac:dyDescent="0.25">
      <c r="U203" s="275"/>
      <c r="Z203" s="96" t="s">
        <v>229</v>
      </c>
      <c r="AA203" s="85" t="s">
        <v>66</v>
      </c>
      <c r="AB203" s="176">
        <f>(AA192+AA193*X193/365)/365*0.67*X183*$R$6/100*$R$17*(1+$R$7)</f>
        <v>0.13360008650029309</v>
      </c>
      <c r="AC203" s="176">
        <f>(AA192+AA193*X193/365)/365*0.67*X183*$R$6/100*(365-$R$17)*(1+$R$7)</f>
        <v>0.13360008650029309</v>
      </c>
      <c r="AD203" s="141" t="s">
        <v>202</v>
      </c>
      <c r="AE203" s="65"/>
      <c r="AF203" s="320" t="s">
        <v>203</v>
      </c>
      <c r="AG203" s="476"/>
      <c r="AH203"/>
      <c r="AI203"/>
      <c r="AJ203"/>
      <c r="AK203"/>
      <c r="AL203" s="96" t="s">
        <v>229</v>
      </c>
      <c r="AM203" s="85" t="s">
        <v>66</v>
      </c>
      <c r="AN203" s="176">
        <f>(AM192+AM193*AJ193/365)/365*0.67*AJ183*$R$6/100*$R$17*(1+$R$7)</f>
        <v>9.7651773620239884E-2</v>
      </c>
      <c r="AO203" s="176">
        <f>(AM192+AM193*AJ193/365)/365*0.67*AJ183*$R$6/100*(365-$R$17)*(1+$R$7)</f>
        <v>9.7651773620239884E-2</v>
      </c>
      <c r="AP203" s="141" t="s">
        <v>202</v>
      </c>
      <c r="AQ203" s="65"/>
      <c r="AR203" s="474" t="s">
        <v>203</v>
      </c>
    </row>
    <row r="204" spans="21:44" x14ac:dyDescent="0.25">
      <c r="U204" s="275"/>
      <c r="Z204" s="96" t="s">
        <v>246</v>
      </c>
      <c r="AA204" s="85" t="s">
        <v>66</v>
      </c>
      <c r="AB204" s="258">
        <f>(AA189+AA190*X190/365)/365*0.67*X183*$R$6/100*$R$17*(1+$R$8*X195)</f>
        <v>0.45201108129184819</v>
      </c>
      <c r="AC204" s="258">
        <f>(AA189+AA190*X190/365)/365*0.67*X183*$R$6/100*(365-$R$17)*(1+$R$8*X195)</f>
        <v>0.45201108129184819</v>
      </c>
      <c r="AD204" s="141" t="s">
        <v>202</v>
      </c>
      <c r="AE204" s="65"/>
      <c r="AF204" s="320" t="s">
        <v>203</v>
      </c>
      <c r="AG204" s="476"/>
      <c r="AH204"/>
      <c r="AI204"/>
      <c r="AJ204"/>
      <c r="AK204"/>
      <c r="AL204" s="96" t="s">
        <v>246</v>
      </c>
      <c r="AM204" s="85" t="s">
        <v>66</v>
      </c>
      <c r="AN204" s="258">
        <f>(AM189+AM190*AJ190/365)/365*0.67*AJ183*$R$6/100*$R$17*(1+$R$8*AJ195)</f>
        <v>0.37399930963055267</v>
      </c>
      <c r="AO204" s="258">
        <f>(AM189+AM190*AJ190/365)/365*0.67*AJ183*$R$6/100*(365-$R$17)*(1+$R$8*AJ195)</f>
        <v>0.37399930963055267</v>
      </c>
      <c r="AP204" s="141" t="s">
        <v>202</v>
      </c>
      <c r="AQ204" s="65"/>
      <c r="AR204" s="474" t="s">
        <v>203</v>
      </c>
    </row>
    <row r="205" spans="21:44" x14ac:dyDescent="0.25">
      <c r="U205" s="275"/>
      <c r="Z205" s="96" t="s">
        <v>247</v>
      </c>
      <c r="AA205" s="85" t="s">
        <v>66</v>
      </c>
      <c r="AB205" s="202"/>
      <c r="AC205" s="202"/>
      <c r="AE205" s="65"/>
      <c r="AF205" s="320" t="s">
        <v>203</v>
      </c>
      <c r="AG205" s="476"/>
      <c r="AH205"/>
      <c r="AI205"/>
      <c r="AJ205"/>
      <c r="AK205"/>
      <c r="AL205" s="96" t="s">
        <v>247</v>
      </c>
      <c r="AM205" s="85" t="s">
        <v>66</v>
      </c>
      <c r="AN205" s="202"/>
      <c r="AO205" s="202"/>
      <c r="AP205" s="202"/>
      <c r="AQ205" s="65"/>
      <c r="AR205" s="474" t="s">
        <v>203</v>
      </c>
    </row>
    <row r="206" spans="21:44" x14ac:dyDescent="0.25">
      <c r="U206" s="275"/>
      <c r="Z206" s="96" t="s">
        <v>67</v>
      </c>
      <c r="AA206" s="85" t="s">
        <v>66</v>
      </c>
      <c r="AB206" s="176">
        <f>(_xlfn.AGGREGATE(9,6,AB189,AB190,AB192,AB193)/365)*0.67*X183*$R$9/100*$R$17</f>
        <v>6.8073041156571037</v>
      </c>
      <c r="AC206" s="176">
        <f>(_xlfn.AGGREGATE(9,6,AB189,AB190,AB192,AB193)/365)*0.67*X183*$R$9/100*(365-$R$17)</f>
        <v>6.8073041156571037</v>
      </c>
      <c r="AD206" s="141" t="s">
        <v>184</v>
      </c>
      <c r="AE206" s="65"/>
      <c r="AF206" s="320" t="s">
        <v>203</v>
      </c>
      <c r="AG206" s="476"/>
      <c r="AH206"/>
      <c r="AI206"/>
      <c r="AJ206"/>
      <c r="AK206"/>
      <c r="AL206" s="96" t="s">
        <v>67</v>
      </c>
      <c r="AM206" s="85" t="s">
        <v>66</v>
      </c>
      <c r="AN206" s="176">
        <f>(_xlfn.AGGREGATE(9,6,AN189,AN190,AN192,AN193)/365)*0.67*AJ183*$R$9/100*$R$17</f>
        <v>5.1602329039188621</v>
      </c>
      <c r="AO206" s="176">
        <f>(_xlfn.AGGREGATE(9,6,AN189,AN190,AN192,AN193)/365)*0.67*AJ183*$R$9/100*(365-$R$17)</f>
        <v>5.1602329039188621</v>
      </c>
      <c r="AP206" s="141" t="s">
        <v>184</v>
      </c>
      <c r="AQ206" s="65"/>
      <c r="AR206" s="474" t="s">
        <v>203</v>
      </c>
    </row>
    <row r="207" spans="21:44" x14ac:dyDescent="0.25">
      <c r="U207" s="275"/>
      <c r="Z207" s="21"/>
      <c r="AA207" s="5"/>
      <c r="AB207" s="5"/>
      <c r="AC207" s="5"/>
      <c r="AD207" s="204"/>
      <c r="AE207" s="125" t="s">
        <v>71</v>
      </c>
      <c r="AF207" s="320" t="s">
        <v>203</v>
      </c>
      <c r="AG207" s="476"/>
      <c r="AH207"/>
      <c r="AI207"/>
      <c r="AJ207"/>
      <c r="AK207"/>
      <c r="AL207" s="21"/>
      <c r="AM207" s="5"/>
      <c r="AN207" s="5"/>
      <c r="AO207" s="5"/>
      <c r="AP207" s="204"/>
      <c r="AQ207" s="125" t="s">
        <v>71</v>
      </c>
      <c r="AR207" s="474" t="s">
        <v>203</v>
      </c>
    </row>
    <row r="208" spans="21:44" x14ac:dyDescent="0.25">
      <c r="U208" s="275"/>
      <c r="Z208" s="97" t="s">
        <v>68</v>
      </c>
      <c r="AA208" s="85" t="s">
        <v>66</v>
      </c>
      <c r="AB208" s="93">
        <f xml:space="preserve"> _xlfn.AGGREGATE(9, 6, AB206:AC206, AB200:AC201,AB197)</f>
        <v>15.407664765927196</v>
      </c>
      <c r="AC208" s="176"/>
      <c r="AD208" s="141" t="s">
        <v>118</v>
      </c>
      <c r="AE208" s="65"/>
      <c r="AF208" s="320" t="s">
        <v>203</v>
      </c>
      <c r="AG208" s="476"/>
      <c r="AH208"/>
      <c r="AI208"/>
      <c r="AJ208"/>
      <c r="AK208"/>
      <c r="AL208" s="97" t="s">
        <v>68</v>
      </c>
      <c r="AM208" s="85" t="s">
        <v>66</v>
      </c>
      <c r="AN208" s="93">
        <f xml:space="preserve"> _xlfn.AGGREGATE(9, 6, AN206:AO206, AN200:AO201,AN197)</f>
        <v>11.733749807443029</v>
      </c>
      <c r="AO208" s="176"/>
      <c r="AP208" s="141" t="s">
        <v>118</v>
      </c>
      <c r="AQ208" s="65"/>
      <c r="AR208" s="474" t="s">
        <v>203</v>
      </c>
    </row>
    <row r="209" spans="21:44" x14ac:dyDescent="0.25">
      <c r="U209" s="275"/>
      <c r="Z209" s="97" t="s">
        <v>248</v>
      </c>
      <c r="AA209" s="85" t="s">
        <v>66</v>
      </c>
      <c r="AB209" s="259">
        <f xml:space="preserve"> _xlfn.AGGREGATE(9, 6, AB206:AC206, AB204:AC205,AB197,AB201:AC201)</f>
        <v>15.284389016483965</v>
      </c>
      <c r="AC209" s="85"/>
      <c r="AD209" s="141"/>
      <c r="AE209" s="65"/>
      <c r="AF209" s="320" t="s">
        <v>203</v>
      </c>
      <c r="AG209" s="476"/>
      <c r="AH209"/>
      <c r="AI209"/>
      <c r="AJ209"/>
      <c r="AK209"/>
      <c r="AL209" s="97" t="s">
        <v>248</v>
      </c>
      <c r="AM209" s="85" t="s">
        <v>66</v>
      </c>
      <c r="AN209" s="259">
        <f xml:space="preserve"> _xlfn.AGGREGATE(9, 6, AN206:AO206, AN204:AO205,AN197,AN201:AO201)</f>
        <v>11.631749995725603</v>
      </c>
      <c r="AO209" s="85"/>
      <c r="AP209" s="141"/>
      <c r="AQ209" s="65"/>
      <c r="AR209" s="474" t="s">
        <v>203</v>
      </c>
    </row>
    <row r="210" spans="21:44" x14ac:dyDescent="0.25">
      <c r="U210" s="275"/>
      <c r="Z210" s="54"/>
      <c r="AA210" s="55" t="s">
        <v>238</v>
      </c>
      <c r="AB210" s="14" t="s">
        <v>381</v>
      </c>
      <c r="AC210" s="15" t="s">
        <v>382</v>
      </c>
      <c r="AD210" s="141"/>
      <c r="AE210" s="65"/>
      <c r="AF210" s="320" t="s">
        <v>203</v>
      </c>
      <c r="AG210" s="476"/>
      <c r="AH210"/>
      <c r="AI210"/>
      <c r="AJ210"/>
      <c r="AK210"/>
      <c r="AL210" s="54"/>
      <c r="AM210" s="55" t="s">
        <v>238</v>
      </c>
      <c r="AN210" s="14" t="s">
        <v>381</v>
      </c>
      <c r="AO210" s="15" t="s">
        <v>382</v>
      </c>
      <c r="AP210" s="141"/>
      <c r="AQ210" s="65"/>
      <c r="AR210" s="474" t="s">
        <v>203</v>
      </c>
    </row>
    <row r="211" spans="21:44" x14ac:dyDescent="0.25">
      <c r="U211" s="275"/>
      <c r="Z211" s="52" t="s">
        <v>421</v>
      </c>
      <c r="AA211" s="333">
        <f>AB197</f>
        <v>9.7758190084596089E-2</v>
      </c>
      <c r="AB211" s="333">
        <f xml:space="preserve"> _xlfn.AGGREGATE(9, 6, AB206, AB204:AB205,AB201)</f>
        <v>7.5933154131996847</v>
      </c>
      <c r="AC211" s="334">
        <f xml:space="preserve"> _xlfn.AGGREGATE(9, 6, AC206, AC204:AC205,AC201)</f>
        <v>7.5933154131996847</v>
      </c>
      <c r="AD211" s="141"/>
      <c r="AE211" s="65"/>
      <c r="AF211" s="320" t="s">
        <v>203</v>
      </c>
      <c r="AG211" s="476"/>
      <c r="AH211"/>
      <c r="AI211"/>
      <c r="AJ211"/>
      <c r="AK211"/>
      <c r="AL211" s="52" t="s">
        <v>421</v>
      </c>
      <c r="AM211" s="333">
        <f>AN197</f>
        <v>7.5026700525576639E-2</v>
      </c>
      <c r="AN211" s="333">
        <f xml:space="preserve"> _xlfn.AGGREGATE(9, 6, AN206, AN204:AN205,AN201)</f>
        <v>5.7783616476000148</v>
      </c>
      <c r="AO211" s="334">
        <f xml:space="preserve"> _xlfn.AGGREGATE(9, 6, AO206, AO204:AO205,AO201)</f>
        <v>5.7783616476000148</v>
      </c>
      <c r="AP211" s="141"/>
      <c r="AQ211" s="65"/>
      <c r="AR211" s="474" t="s">
        <v>203</v>
      </c>
    </row>
    <row r="212" spans="21:44" x14ac:dyDescent="0.25">
      <c r="U212" s="275"/>
      <c r="Z212" s="97"/>
      <c r="AA212" s="85"/>
      <c r="AB212" s="85"/>
      <c r="AC212" s="85"/>
      <c r="AD212" s="141"/>
      <c r="AE212" s="65"/>
      <c r="AF212" s="320" t="s">
        <v>203</v>
      </c>
      <c r="AG212" s="476"/>
      <c r="AH212"/>
      <c r="AI212"/>
      <c r="AJ212"/>
      <c r="AK212"/>
      <c r="AL212" s="97"/>
      <c r="AM212" s="85"/>
      <c r="AN212" s="85"/>
      <c r="AO212" s="85"/>
      <c r="AP212" s="141"/>
      <c r="AQ212" s="65"/>
      <c r="AR212" s="474" t="s">
        <v>203</v>
      </c>
    </row>
    <row r="213" spans="21:44" x14ac:dyDescent="0.25">
      <c r="U213" s="275"/>
      <c r="Z213" s="96" t="s">
        <v>181</v>
      </c>
      <c r="AA213" s="85"/>
      <c r="AB213" s="176"/>
      <c r="AC213" s="176"/>
      <c r="AD213" s="141"/>
      <c r="AE213" s="65"/>
      <c r="AF213" s="320" t="s">
        <v>203</v>
      </c>
      <c r="AG213" s="476"/>
      <c r="AH213"/>
      <c r="AI213"/>
      <c r="AJ213"/>
      <c r="AK213"/>
      <c r="AL213" s="96" t="s">
        <v>181</v>
      </c>
      <c r="AM213" s="85"/>
      <c r="AN213" s="176"/>
      <c r="AO213" s="176"/>
      <c r="AP213" s="141"/>
      <c r="AQ213" s="65"/>
      <c r="AR213" s="474" t="s">
        <v>203</v>
      </c>
    </row>
    <row r="214" spans="21:44" x14ac:dyDescent="0.25">
      <c r="U214" s="275"/>
      <c r="Z214" s="96" t="s">
        <v>185</v>
      </c>
      <c r="AA214" s="84" t="s">
        <v>13</v>
      </c>
      <c r="AB214" s="176">
        <f>AB208*$R$14</f>
        <v>429.87384696936874</v>
      </c>
      <c r="AC214" s="176"/>
      <c r="AD214" s="141" t="s">
        <v>117</v>
      </c>
      <c r="AE214" s="65"/>
      <c r="AF214" s="320" t="s">
        <v>203</v>
      </c>
      <c r="AG214" s="476"/>
      <c r="AH214"/>
      <c r="AI214"/>
      <c r="AJ214"/>
      <c r="AK214"/>
      <c r="AL214" s="96" t="s">
        <v>185</v>
      </c>
      <c r="AM214" s="84" t="s">
        <v>13</v>
      </c>
      <c r="AN214" s="176">
        <f>AN208*$R$14</f>
        <v>327.37161962766049</v>
      </c>
      <c r="AO214" s="176"/>
      <c r="AP214" s="141" t="s">
        <v>117</v>
      </c>
      <c r="AQ214" s="65"/>
      <c r="AR214" s="474" t="s">
        <v>203</v>
      </c>
    </row>
    <row r="215" spans="21:44" x14ac:dyDescent="0.25">
      <c r="U215" s="275"/>
      <c r="Z215" s="96" t="s">
        <v>249</v>
      </c>
      <c r="AA215" s="84" t="s">
        <v>13</v>
      </c>
      <c r="AB215" s="258">
        <f>AB209*$R$14</f>
        <v>426.43445355990264</v>
      </c>
      <c r="AC215" s="176"/>
      <c r="AD215" s="141" t="s">
        <v>117</v>
      </c>
      <c r="AE215" s="65"/>
      <c r="AF215" s="320" t="s">
        <v>203</v>
      </c>
      <c r="AG215" s="476"/>
      <c r="AH215"/>
      <c r="AI215"/>
      <c r="AJ215"/>
      <c r="AK215"/>
      <c r="AL215" s="96" t="s">
        <v>249</v>
      </c>
      <c r="AM215" s="84" t="s">
        <v>13</v>
      </c>
      <c r="AN215" s="258">
        <f>AN209*$R$14</f>
        <v>324.52582488074427</v>
      </c>
      <c r="AO215" s="176"/>
      <c r="AP215" s="141" t="s">
        <v>117</v>
      </c>
      <c r="AQ215" s="65"/>
      <c r="AR215" s="474" t="s">
        <v>203</v>
      </c>
    </row>
    <row r="216" spans="21:44" x14ac:dyDescent="0.25">
      <c r="U216" s="275"/>
      <c r="Z216" s="25"/>
      <c r="AA216" s="55" t="s">
        <v>238</v>
      </c>
      <c r="AB216" s="14" t="s">
        <v>381</v>
      </c>
      <c r="AC216" s="15" t="s">
        <v>382</v>
      </c>
      <c r="AE216" s="18"/>
      <c r="AF216" s="320" t="s">
        <v>203</v>
      </c>
      <c r="AG216" s="476"/>
      <c r="AH216"/>
      <c r="AI216"/>
      <c r="AJ216"/>
      <c r="AK216"/>
      <c r="AL216" s="25"/>
      <c r="AM216" s="55" t="s">
        <v>238</v>
      </c>
      <c r="AN216" s="14" t="s">
        <v>381</v>
      </c>
      <c r="AO216" s="15" t="s">
        <v>382</v>
      </c>
      <c r="AP216" s="202"/>
      <c r="AQ216" s="18"/>
      <c r="AR216" s="474" t="s">
        <v>203</v>
      </c>
    </row>
    <row r="217" spans="21:44" x14ac:dyDescent="0.25">
      <c r="U217" s="275"/>
      <c r="Z217" s="29" t="s">
        <v>422</v>
      </c>
      <c r="AA217" s="333">
        <f>AA211*$R$14</f>
        <v>2.727453503360231</v>
      </c>
      <c r="AB217" s="333">
        <f>AB211*$R$14</f>
        <v>211.85350002827118</v>
      </c>
      <c r="AC217" s="334">
        <f>AC211*$R$14</f>
        <v>211.85350002827118</v>
      </c>
      <c r="AD217" s="335" t="s">
        <v>117</v>
      </c>
      <c r="AE217" s="23"/>
      <c r="AF217" s="320" t="s">
        <v>203</v>
      </c>
      <c r="AG217" s="476"/>
      <c r="AH217"/>
      <c r="AI217"/>
      <c r="AJ217"/>
      <c r="AK217"/>
      <c r="AL217" s="29" t="s">
        <v>422</v>
      </c>
      <c r="AM217" s="333">
        <f>AM211*$R$14</f>
        <v>2.0932449446635881</v>
      </c>
      <c r="AN217" s="333">
        <f>AN211*$R$14</f>
        <v>161.2162899680404</v>
      </c>
      <c r="AO217" s="334">
        <f>AO211*$R$14</f>
        <v>161.2162899680404</v>
      </c>
      <c r="AP217" s="335" t="s">
        <v>117</v>
      </c>
      <c r="AQ217" s="23"/>
      <c r="AR217" s="474" t="s">
        <v>203</v>
      </c>
    </row>
    <row r="218" spans="21:44" x14ac:dyDescent="0.25">
      <c r="AF218" s="320" t="s">
        <v>203</v>
      </c>
      <c r="AG218"/>
      <c r="AH218"/>
      <c r="AI218"/>
      <c r="AJ218"/>
      <c r="AK218"/>
      <c r="AL218"/>
      <c r="AM218"/>
      <c r="AN218"/>
      <c r="AO218"/>
      <c r="AP218" s="202"/>
      <c r="AQ218"/>
      <c r="AR218" s="474" t="s">
        <v>203</v>
      </c>
    </row>
    <row r="219" spans="21:44" x14ac:dyDescent="0.25">
      <c r="U219" s="275"/>
      <c r="V219" s="670" t="s">
        <v>276</v>
      </c>
      <c r="AF219" s="320" t="s">
        <v>203</v>
      </c>
      <c r="AG219" s="476"/>
      <c r="AH219" s="670" t="s">
        <v>463</v>
      </c>
      <c r="AI219"/>
      <c r="AJ219"/>
      <c r="AK219"/>
      <c r="AL219"/>
      <c r="AM219"/>
      <c r="AN219"/>
      <c r="AO219"/>
      <c r="AP219" s="202"/>
      <c r="AQ219"/>
      <c r="AR219" s="474" t="s">
        <v>203</v>
      </c>
    </row>
    <row r="220" spans="21:44" x14ac:dyDescent="0.25">
      <c r="U220" s="275"/>
      <c r="W220" s="670" t="s">
        <v>65</v>
      </c>
      <c r="X220">
        <f>INDEX($Q$2:$S$3, 2,MATCH(W220,$Q$2:$S$2,0))</f>
        <v>0.18</v>
      </c>
      <c r="Y220" t="s">
        <v>63</v>
      </c>
      <c r="Z220" s="103"/>
      <c r="AA220" s="191"/>
      <c r="AB220" s="191"/>
      <c r="AC220" s="191"/>
      <c r="AD220" s="237"/>
      <c r="AE220" s="238"/>
      <c r="AF220" s="320" t="s">
        <v>203</v>
      </c>
      <c r="AG220" s="476"/>
      <c r="AH220"/>
      <c r="AI220" s="670" t="s">
        <v>65</v>
      </c>
      <c r="AJ220">
        <f>INDEX($Q$2:$S$3, 2,MATCH(AI220,$Q$2:$S$2,0))</f>
        <v>0.18</v>
      </c>
      <c r="AK220" t="s">
        <v>63</v>
      </c>
      <c r="AL220" s="103"/>
      <c r="AM220" s="191"/>
      <c r="AN220" s="191"/>
      <c r="AO220" s="191"/>
      <c r="AP220" s="237"/>
      <c r="AQ220" s="238"/>
      <c r="AR220" s="474" t="s">
        <v>203</v>
      </c>
    </row>
    <row r="221" spans="21:44" x14ac:dyDescent="0.25">
      <c r="U221" s="275"/>
      <c r="W221" s="108" t="s">
        <v>93</v>
      </c>
      <c r="X221" s="109"/>
      <c r="Z221" s="239" t="s">
        <v>231</v>
      </c>
      <c r="AA221" s="194"/>
      <c r="AB221" s="194"/>
      <c r="AC221" s="194"/>
      <c r="AD221" s="240"/>
      <c r="AE221" s="241"/>
      <c r="AF221" s="320" t="s">
        <v>203</v>
      </c>
      <c r="AG221" s="476"/>
      <c r="AH221"/>
      <c r="AI221" s="108" t="s">
        <v>93</v>
      </c>
      <c r="AJ221" s="109"/>
      <c r="AK221"/>
      <c r="AL221" s="239" t="s">
        <v>231</v>
      </c>
      <c r="AM221" s="194"/>
      <c r="AN221" s="194"/>
      <c r="AO221" s="194"/>
      <c r="AP221" s="240"/>
      <c r="AQ221" s="241"/>
      <c r="AR221" s="474" t="s">
        <v>203</v>
      </c>
    </row>
    <row r="222" spans="21:44" x14ac:dyDescent="0.25">
      <c r="U222" s="275"/>
      <c r="W222" s="110" t="s">
        <v>81</v>
      </c>
      <c r="X222" s="665">
        <v>180</v>
      </c>
      <c r="Z222" s="126"/>
      <c r="AA222" s="192"/>
      <c r="AB222" s="192"/>
      <c r="AC222" s="192"/>
      <c r="AD222" s="242"/>
      <c r="AE222" s="243"/>
      <c r="AF222" s="320" t="s">
        <v>203</v>
      </c>
      <c r="AG222" s="476"/>
      <c r="AH222"/>
      <c r="AI222" s="110" t="s">
        <v>81</v>
      </c>
      <c r="AJ222" s="665">
        <v>180</v>
      </c>
      <c r="AK222"/>
      <c r="AL222" s="126"/>
      <c r="AM222" s="192"/>
      <c r="AN222" s="192"/>
      <c r="AO222" s="192"/>
      <c r="AP222" s="242"/>
      <c r="AQ222" s="243"/>
      <c r="AR222" s="474" t="s">
        <v>203</v>
      </c>
    </row>
    <row r="223" spans="21:44" x14ac:dyDescent="0.25">
      <c r="U223" s="275"/>
      <c r="W223" s="228" t="s">
        <v>82</v>
      </c>
      <c r="X223" s="666">
        <v>24</v>
      </c>
      <c r="Z223" s="127"/>
      <c r="AA223" s="54" t="s">
        <v>5</v>
      </c>
      <c r="AB223" s="187" t="s">
        <v>6</v>
      </c>
      <c r="AC223" s="128"/>
      <c r="AD223" s="203"/>
      <c r="AE223" s="124"/>
      <c r="AF223" s="320" t="s">
        <v>203</v>
      </c>
      <c r="AG223" s="476"/>
      <c r="AH223"/>
      <c r="AI223" s="228" t="s">
        <v>82</v>
      </c>
      <c r="AJ223" s="666">
        <v>24</v>
      </c>
      <c r="AK223"/>
      <c r="AL223" s="127"/>
      <c r="AM223" s="54" t="s">
        <v>5</v>
      </c>
      <c r="AN223" s="187" t="s">
        <v>6</v>
      </c>
      <c r="AO223" s="128"/>
      <c r="AP223" s="203"/>
      <c r="AQ223" s="124"/>
      <c r="AR223" s="474" t="s">
        <v>203</v>
      </c>
    </row>
    <row r="224" spans="21:44" x14ac:dyDescent="0.25">
      <c r="U224" s="275"/>
      <c r="Z224" s="96" t="s">
        <v>145</v>
      </c>
      <c r="AA224" s="183">
        <f>INDEX(Normtal!$Q$3:$AC$551,MATCH('CH4_Gylle_Stald&amp;Lager'!V219,Normtal!$Q$3:$Q$551,0),9)*(X222/365)*(X223/24)</f>
        <v>172.46778533678432</v>
      </c>
      <c r="AB224" s="78"/>
      <c r="AC224" s="44"/>
      <c r="AD224" s="204" t="s">
        <v>147</v>
      </c>
      <c r="AE224" s="65"/>
      <c r="AF224" s="320" t="s">
        <v>203</v>
      </c>
      <c r="AG224" s="476"/>
      <c r="AH224"/>
      <c r="AI224"/>
      <c r="AJ224"/>
      <c r="AK224"/>
      <c r="AL224" s="96" t="s">
        <v>145</v>
      </c>
      <c r="AM224" s="183">
        <f>INDEX(Normtal!$Q$3:$AC$551,MATCH('CH4_Gylle_Stald&amp;Lager'!AH219,Normtal!$Q$3:$Q$551,0),9)*(AJ222/365)*(AJ223/24)</f>
        <v>127.83670728429927</v>
      </c>
      <c r="AN224" s="78"/>
      <c r="AO224" s="44"/>
      <c r="AP224" s="204" t="s">
        <v>147</v>
      </c>
      <c r="AQ224" s="65"/>
      <c r="AR224" s="474" t="s">
        <v>203</v>
      </c>
    </row>
    <row r="225" spans="21:44" x14ac:dyDescent="0.25">
      <c r="U225" s="275"/>
      <c r="V225" s="45"/>
      <c r="W225" s="229" t="s">
        <v>221</v>
      </c>
      <c r="X225" s="230"/>
      <c r="Z225" s="96"/>
      <c r="AA225" s="667" t="s">
        <v>281</v>
      </c>
      <c r="AB225" s="220" t="s">
        <v>210</v>
      </c>
      <c r="AC225" s="5"/>
      <c r="AD225" s="226"/>
      <c r="AE225" s="65"/>
      <c r="AF225" s="320" t="s">
        <v>203</v>
      </c>
      <c r="AG225" s="476"/>
      <c r="AH225" s="45"/>
      <c r="AI225" s="229" t="s">
        <v>221</v>
      </c>
      <c r="AJ225" s="230"/>
      <c r="AK225"/>
      <c r="AL225" s="96"/>
      <c r="AM225" s="667" t="s">
        <v>605</v>
      </c>
      <c r="AN225" s="220" t="s">
        <v>210</v>
      </c>
      <c r="AO225" s="5"/>
      <c r="AP225" s="226"/>
      <c r="AQ225" s="65"/>
      <c r="AR225" s="474" t="s">
        <v>203</v>
      </c>
    </row>
    <row r="226" spans="21:44" x14ac:dyDescent="0.25">
      <c r="U226" s="275"/>
      <c r="V226" s="5"/>
      <c r="W226" s="231" t="s">
        <v>224</v>
      </c>
      <c r="X226" s="669">
        <v>0.37</v>
      </c>
      <c r="Z226" s="97" t="s">
        <v>115</v>
      </c>
      <c r="AA226" s="183">
        <f>INDEX(Normtal!$Q$3:$AC$551,MATCH('CH4_Gylle_Stald&amp;Lager'!AA225,Normtal!$AA$3:$AA$551,0),9)*$X227/365</f>
        <v>65.585666146127153</v>
      </c>
      <c r="AB226" s="183" t="e">
        <f>INDEX(Normtal!$Q$3:$AC$551,MATCH('CH4_Gylle_Stald&amp;Lager'!AB225,Normtal!$AA$3:$AA$551,0),9)*$X227/365</f>
        <v>#N/A</v>
      </c>
      <c r="AC226" s="44"/>
      <c r="AD226" s="204"/>
      <c r="AE226" s="65"/>
      <c r="AF226" s="320" t="s">
        <v>203</v>
      </c>
      <c r="AG226" s="476"/>
      <c r="AH226" s="5"/>
      <c r="AI226" s="231" t="s">
        <v>224</v>
      </c>
      <c r="AJ226" s="669">
        <v>0.4</v>
      </c>
      <c r="AK226"/>
      <c r="AL226" s="97" t="s">
        <v>115</v>
      </c>
      <c r="AM226" s="183">
        <f>INDEX(Normtal!$Q$3:$AC$551,MATCH('CH4_Gylle_Stald&amp;Lager'!AM225,Normtal!$AA$3:$AA$551,0),9)*$AJ227/365</f>
        <v>52.555090772434141</v>
      </c>
      <c r="AN226" s="183" t="e">
        <f>INDEX(Normtal!$Q$3:$AC$551,MATCH('CH4_Gylle_Stald&amp;Lager'!AN225,Normtal!$AA$3:$AA$551,0),9)*$AJ227/365</f>
        <v>#N/A</v>
      </c>
      <c r="AO226" s="44"/>
      <c r="AP226" s="204"/>
      <c r="AQ226" s="65"/>
      <c r="AR226" s="474" t="s">
        <v>203</v>
      </c>
    </row>
    <row r="227" spans="21:44" x14ac:dyDescent="0.25">
      <c r="U227" s="275"/>
      <c r="W227" s="233" t="s">
        <v>223</v>
      </c>
      <c r="X227" s="583">
        <f>(365-X222*X223/24)*X226</f>
        <v>68.45</v>
      </c>
      <c r="Z227" s="97" t="s">
        <v>116</v>
      </c>
      <c r="AA227" s="183">
        <f>INDEX(Normtal!$Q$3:$AC$551,MATCH('CH4_Gylle_Stald&amp;Lager'!AA225,Normtal!$AA$3:$AA$551,0),7)*$X227/365</f>
        <v>16.582012500000001</v>
      </c>
      <c r="AB227" s="183" t="e">
        <f>INDEX(Normtal!$Q$3:$AC$551,MATCH('CH4_Gylle_Stald&amp;Lager'!AB225,Normtal!$AA$3:$AA$551,0),7)*$X227/365</f>
        <v>#N/A</v>
      </c>
      <c r="AC227" s="44"/>
      <c r="AD227" s="204"/>
      <c r="AE227" s="65"/>
      <c r="AF227" s="320" t="s">
        <v>203</v>
      </c>
      <c r="AG227" s="476"/>
      <c r="AH227"/>
      <c r="AI227" s="233" t="s">
        <v>223</v>
      </c>
      <c r="AJ227" s="583">
        <f>(365-AJ222*AJ223/24)*AJ226</f>
        <v>74</v>
      </c>
      <c r="AK227"/>
      <c r="AL227" s="97" t="s">
        <v>116</v>
      </c>
      <c r="AM227" s="183">
        <f>INDEX(Normtal!$Q$3:$AC$551,MATCH('CH4_Gylle_Stald&amp;Lager'!AM225,Normtal!$AA$3:$AA$551,0),7)*$AJ227/365</f>
        <v>11.951000000000002</v>
      </c>
      <c r="AN227" s="183" t="e">
        <f>INDEX(Normtal!$Q$3:$AC$551,MATCH('CH4_Gylle_Stald&amp;Lager'!AN225,Normtal!$AA$3:$AA$551,0),7)*$AJ227/365</f>
        <v>#N/A</v>
      </c>
      <c r="AO227" s="44"/>
      <c r="AP227" s="204"/>
      <c r="AQ227" s="65"/>
      <c r="AR227" s="474" t="s">
        <v>203</v>
      </c>
    </row>
    <row r="228" spans="21:44" x14ac:dyDescent="0.25">
      <c r="U228" s="275"/>
      <c r="W228" s="229" t="s">
        <v>222</v>
      </c>
      <c r="X228" s="230"/>
      <c r="Z228" s="225"/>
      <c r="AA228" s="667" t="s">
        <v>282</v>
      </c>
      <c r="AB228" s="667" t="s">
        <v>283</v>
      </c>
      <c r="AC228" s="5"/>
      <c r="AD228" s="227"/>
      <c r="AE228" s="65"/>
      <c r="AF228" s="320" t="s">
        <v>203</v>
      </c>
      <c r="AG228" s="476"/>
      <c r="AH228"/>
      <c r="AI228" s="229" t="s">
        <v>222</v>
      </c>
      <c r="AJ228" s="230"/>
      <c r="AK228"/>
      <c r="AL228" s="225"/>
      <c r="AM228" s="667" t="s">
        <v>606</v>
      </c>
      <c r="AN228" s="667" t="s">
        <v>607</v>
      </c>
      <c r="AO228" s="5"/>
      <c r="AP228" s="227"/>
      <c r="AQ228" s="65"/>
      <c r="AR228" s="474" t="s">
        <v>203</v>
      </c>
    </row>
    <row r="229" spans="21:44" x14ac:dyDescent="0.25">
      <c r="U229" s="275"/>
      <c r="W229" s="231" t="s">
        <v>224</v>
      </c>
      <c r="X229" s="232">
        <f>1-X226</f>
        <v>0.63</v>
      </c>
      <c r="Z229" s="97" t="s">
        <v>115</v>
      </c>
      <c r="AA229" s="183">
        <f>INDEX(Normtal!$Q$3:$AC$551,MATCH('CH4_Gylle_Stald&amp;Lager'!AA228,Normtal!$AA$3:$AA$551,0),9)*$X230/365</f>
        <v>44.669156402227138</v>
      </c>
      <c r="AB229" s="183">
        <f>INDEX(Normtal!$Q$3:$AC$551,MATCH('CH4_Gylle_Stald&amp;Lager'!AB228,Normtal!$AA$3:$AA$551,0),9)*$X230/365</f>
        <v>67.003734603340718</v>
      </c>
      <c r="AC229" s="44"/>
      <c r="AD229" s="204" t="s">
        <v>148</v>
      </c>
      <c r="AE229" s="65"/>
      <c r="AF229" s="320" t="s">
        <v>203</v>
      </c>
      <c r="AG229" s="476"/>
      <c r="AH229"/>
      <c r="AI229" s="231" t="s">
        <v>224</v>
      </c>
      <c r="AJ229" s="232">
        <f>1-AJ226</f>
        <v>0.6</v>
      </c>
      <c r="AK229"/>
      <c r="AL229" s="97" t="s">
        <v>115</v>
      </c>
      <c r="AM229" s="183">
        <f>INDEX(Normtal!$Q$3:$AC$551,MATCH('CH4_Gylle_Stald&amp;Lager'!AM228,Normtal!$AA$3:$AA$551,0),9)*$AJ230/365</f>
        <v>31.533054463460491</v>
      </c>
      <c r="AN229" s="183">
        <f>INDEX(Normtal!$Q$3:$AC$551,MATCH('CH4_Gylle_Stald&amp;Lager'!AN228,Normtal!$AA$3:$AA$551,0),9)*$AJ230/365</f>
        <v>47.299581695190732</v>
      </c>
      <c r="AO229" s="44"/>
      <c r="AP229" s="204" t="s">
        <v>148</v>
      </c>
      <c r="AQ229" s="65"/>
      <c r="AR229" s="474" t="s">
        <v>203</v>
      </c>
    </row>
    <row r="230" spans="21:44" x14ac:dyDescent="0.25">
      <c r="U230" s="275"/>
      <c r="V230" s="5"/>
      <c r="W230" s="233" t="s">
        <v>81</v>
      </c>
      <c r="X230" s="234">
        <f>(365-X222*X223/24)*X229</f>
        <v>116.55</v>
      </c>
      <c r="Z230" s="97" t="s">
        <v>116</v>
      </c>
      <c r="AA230" s="222">
        <f>INDEX(Normtal!$Q$3:$AC$551,MATCH('CH4_Gylle_Stald&amp;Lager'!AA228,Normtal!$AA$3:$AA$551,0),7)*$X230/365</f>
        <v>0</v>
      </c>
      <c r="AB230" s="222">
        <f>INDEX(Normtal!$Q$3:$AC$551,MATCH('CH4_Gylle_Stald&amp;Lager'!AB228,Normtal!$AA$3:$AA$551,0),7)*$X230/365</f>
        <v>470.57062499999995</v>
      </c>
      <c r="AC230" s="44"/>
      <c r="AD230" s="141"/>
      <c r="AE230" s="65"/>
      <c r="AF230" s="320" t="s">
        <v>203</v>
      </c>
      <c r="AG230" s="476"/>
      <c r="AH230" s="5"/>
      <c r="AI230" s="233" t="s">
        <v>81</v>
      </c>
      <c r="AJ230" s="234">
        <f>(365-AJ222*AJ223/24)*AJ229</f>
        <v>111</v>
      </c>
      <c r="AK230"/>
      <c r="AL230" s="97" t="s">
        <v>116</v>
      </c>
      <c r="AM230" s="222">
        <f>INDEX(Normtal!$Q$3:$AC$551,MATCH('CH4_Gylle_Stald&amp;Lager'!AM228,Normtal!$AA$3:$AA$551,0),7)*$AJ230/365</f>
        <v>0</v>
      </c>
      <c r="AN230" s="222">
        <f>INDEX(Normtal!$Q$3:$AC$551,MATCH('CH4_Gylle_Stald&amp;Lager'!AN228,Normtal!$AA$3:$AA$551,0),7)*$AJ230/365</f>
        <v>358.53000000000003</v>
      </c>
      <c r="AO230" s="44"/>
      <c r="AP230" s="141"/>
      <c r="AQ230" s="65"/>
      <c r="AR230" s="474" t="s">
        <v>203</v>
      </c>
    </row>
    <row r="231" spans="21:44" x14ac:dyDescent="0.25">
      <c r="U231" s="275"/>
      <c r="Z231" s="235" t="s">
        <v>225</v>
      </c>
      <c r="AA231" s="90">
        <f>_xlfn.AGGREGATE(9,6,AA224:AB224,AA226:AB226,AA229:AB229)</f>
        <v>349.7263424884793</v>
      </c>
      <c r="AB231" s="267">
        <f>INDEX(Normtal!$Q$3:$AC$551,MATCH('CH4_Gylle_Stald&amp;Lager'!V219,Normtal!$Q$3:$Q$551,0),9)</f>
        <v>349.7263424884793</v>
      </c>
      <c r="AC231" s="44"/>
      <c r="AD231" s="141"/>
      <c r="AE231" s="65"/>
      <c r="AF231" s="320" t="s">
        <v>203</v>
      </c>
      <c r="AG231" s="476"/>
      <c r="AH231"/>
      <c r="AI231"/>
      <c r="AJ231"/>
      <c r="AK231"/>
      <c r="AL231" s="235" t="s">
        <v>225</v>
      </c>
      <c r="AM231" s="90">
        <f>_xlfn.AGGREGATE(9,6,AM224:AN224,AM226:AN226,AM229:AN229)</f>
        <v>259.22443421538463</v>
      </c>
      <c r="AN231" s="267">
        <f>INDEX(Normtal!$Q$3:$AC$551,MATCH('CH4_Gylle_Stald&amp;Lager'!AH219,Normtal!$Q$3:$Q$551,0),9)</f>
        <v>259.22443421538463</v>
      </c>
      <c r="AO231" s="44"/>
      <c r="AP231" s="141"/>
      <c r="AQ231" s="65"/>
      <c r="AR231" s="474" t="s">
        <v>203</v>
      </c>
    </row>
    <row r="232" spans="21:44" x14ac:dyDescent="0.25">
      <c r="U232" s="275"/>
      <c r="W232" s="257" t="s">
        <v>245</v>
      </c>
      <c r="X232" s="668">
        <v>0</v>
      </c>
      <c r="Z232" s="96"/>
      <c r="AA232" s="85"/>
      <c r="AB232" s="93"/>
      <c r="AC232" s="93"/>
      <c r="AD232" s="141"/>
      <c r="AE232" s="65"/>
      <c r="AF232" s="320" t="s">
        <v>203</v>
      </c>
      <c r="AG232" s="476"/>
      <c r="AH232"/>
      <c r="AI232" s="257" t="s">
        <v>245</v>
      </c>
      <c r="AJ232" s="668">
        <v>0</v>
      </c>
      <c r="AK232"/>
      <c r="AL232" s="96"/>
      <c r="AM232" s="85"/>
      <c r="AN232" s="93"/>
      <c r="AO232" s="93"/>
      <c r="AP232" s="141"/>
      <c r="AQ232" s="65"/>
      <c r="AR232" s="474" t="s">
        <v>203</v>
      </c>
    </row>
    <row r="233" spans="21:44" x14ac:dyDescent="0.25">
      <c r="U233" s="275"/>
      <c r="Z233" s="96" t="s">
        <v>84</v>
      </c>
      <c r="AA233" s="85"/>
      <c r="AB233" s="85"/>
      <c r="AC233" s="85"/>
      <c r="AD233" s="141"/>
      <c r="AE233" s="65"/>
      <c r="AF233" s="320" t="s">
        <v>203</v>
      </c>
      <c r="AG233" s="476"/>
      <c r="AH233"/>
      <c r="AI233"/>
      <c r="AJ233"/>
      <c r="AK233"/>
      <c r="AL233" s="96" t="s">
        <v>84</v>
      </c>
      <c r="AM233" s="85"/>
      <c r="AN233" s="85"/>
      <c r="AO233" s="85"/>
      <c r="AP233" s="141"/>
      <c r="AQ233" s="65"/>
      <c r="AR233" s="474" t="s">
        <v>203</v>
      </c>
    </row>
    <row r="234" spans="21:44" x14ac:dyDescent="0.25">
      <c r="U234" s="275"/>
      <c r="W234" s="77" t="s">
        <v>226</v>
      </c>
      <c r="X234" s="236">
        <f>X222*X223/24+X227+X230</f>
        <v>365</v>
      </c>
      <c r="Z234" s="97" t="s">
        <v>62</v>
      </c>
      <c r="AA234" s="85" t="s">
        <v>66</v>
      </c>
      <c r="AB234" s="176">
        <f>(AA224)*0.67*X220*$R$10/100</f>
        <v>9.7758190084596089E-2</v>
      </c>
      <c r="AC234" s="176"/>
      <c r="AD234" s="141" t="s">
        <v>146</v>
      </c>
      <c r="AE234" s="65"/>
      <c r="AF234" s="320" t="s">
        <v>203</v>
      </c>
      <c r="AG234" s="476"/>
      <c r="AH234"/>
      <c r="AI234" s="77" t="s">
        <v>226</v>
      </c>
      <c r="AJ234" s="236">
        <f>AJ222*AJ223/24+AJ227+AJ230</f>
        <v>365</v>
      </c>
      <c r="AK234"/>
      <c r="AL234" s="97" t="s">
        <v>62</v>
      </c>
      <c r="AM234" s="85" t="s">
        <v>66</v>
      </c>
      <c r="AN234" s="176">
        <f>(AM224)*0.67*AJ220*$R$10/100</f>
        <v>7.2460402422886511E-2</v>
      </c>
      <c r="AO234" s="176"/>
      <c r="AP234" s="141" t="s">
        <v>146</v>
      </c>
      <c r="AQ234" s="65"/>
      <c r="AR234" s="474" t="s">
        <v>203</v>
      </c>
    </row>
    <row r="235" spans="21:44" x14ac:dyDescent="0.25">
      <c r="U235" s="275"/>
      <c r="Z235" s="177"/>
      <c r="AA235" s="85"/>
      <c r="AB235" s="85"/>
      <c r="AC235" s="85"/>
      <c r="AD235" s="141"/>
      <c r="AE235" s="65"/>
      <c r="AF235" s="320" t="s">
        <v>203</v>
      </c>
      <c r="AG235" s="476"/>
      <c r="AH235"/>
      <c r="AI235"/>
      <c r="AJ235"/>
      <c r="AK235"/>
      <c r="AL235" s="177"/>
      <c r="AM235" s="85"/>
      <c r="AN235" s="85"/>
      <c r="AO235" s="85"/>
      <c r="AP235" s="141"/>
      <c r="AQ235" s="65"/>
      <c r="AR235" s="474" t="s">
        <v>203</v>
      </c>
    </row>
    <row r="236" spans="21:44" x14ac:dyDescent="0.25">
      <c r="U236" s="275"/>
      <c r="X236" s="244"/>
      <c r="Z236" s="96" t="s">
        <v>188</v>
      </c>
      <c r="AA236" s="85"/>
      <c r="AB236" s="85" t="s">
        <v>180</v>
      </c>
      <c r="AC236" s="85" t="s">
        <v>182</v>
      </c>
      <c r="AD236" s="141"/>
      <c r="AE236" s="65"/>
      <c r="AF236" s="320" t="s">
        <v>203</v>
      </c>
      <c r="AG236" s="476"/>
      <c r="AH236"/>
      <c r="AI236"/>
      <c r="AJ236" s="244"/>
      <c r="AK236"/>
      <c r="AL236" s="96" t="s">
        <v>188</v>
      </c>
      <c r="AM236" s="85"/>
      <c r="AN236" s="85" t="s">
        <v>180</v>
      </c>
      <c r="AO236" s="85" t="s">
        <v>182</v>
      </c>
      <c r="AP236" s="141"/>
      <c r="AQ236" s="65"/>
      <c r="AR236" s="474" t="s">
        <v>203</v>
      </c>
    </row>
    <row r="237" spans="21:44" x14ac:dyDescent="0.25">
      <c r="U237" s="275"/>
      <c r="X237" s="245"/>
      <c r="Z237" s="96" t="s">
        <v>227</v>
      </c>
      <c r="AA237" s="85" t="s">
        <v>66</v>
      </c>
      <c r="AB237" s="176">
        <f>(AA226+AA227*X227/365)/365*0.67*X220*$R$6/100*$R$17</f>
        <v>0.51364895601346383</v>
      </c>
      <c r="AC237" s="176">
        <f>(AA226+AA227*X227/365)/365*0.67*X220*$R$6/100*(365-$R$17)</f>
        <v>0.51364895601346383</v>
      </c>
      <c r="AD237" s="141"/>
      <c r="AE237" s="65"/>
      <c r="AF237" s="320" t="s">
        <v>203</v>
      </c>
      <c r="AG237" s="476"/>
      <c r="AH237"/>
      <c r="AI237"/>
      <c r="AJ237" s="245"/>
      <c r="AK237"/>
      <c r="AL237" s="96" t="s">
        <v>227</v>
      </c>
      <c r="AM237" s="85" t="s">
        <v>66</v>
      </c>
      <c r="AN237" s="176">
        <f>(AM226+AM227*AJ227/365)/365*0.67*AJ220*$R$6/100*$R$17</f>
        <v>0.41108175012857606</v>
      </c>
      <c r="AO237" s="176">
        <f>(AM226+AM227*AJ227/365)/365*0.67*AJ220*$R$6/100*(365-$R$17)</f>
        <v>0.41108175012857606</v>
      </c>
      <c r="AP237" s="141"/>
      <c r="AQ237" s="65"/>
      <c r="AR237" s="474" t="s">
        <v>203</v>
      </c>
    </row>
    <row r="238" spans="21:44" x14ac:dyDescent="0.25">
      <c r="U238" s="275"/>
      <c r="X238" s="245"/>
      <c r="Z238" s="96" t="s">
        <v>228</v>
      </c>
      <c r="AA238" s="85" t="s">
        <v>66</v>
      </c>
      <c r="AB238" s="176">
        <f>(AA229+AA230*X230/365)/365*0.67*X220*$R$6/100*$R$17</f>
        <v>0.33400021625073273</v>
      </c>
      <c r="AC238" s="176">
        <f>(AA229+AA230*X230/365)/365*0.67*X220*$R$6/100*(365-$R$17)</f>
        <v>0.33400021625073273</v>
      </c>
      <c r="AD238" s="141" t="s">
        <v>202</v>
      </c>
      <c r="AE238" s="65"/>
      <c r="AF238" s="320" t="s">
        <v>203</v>
      </c>
      <c r="AG238" s="476"/>
      <c r="AH238"/>
      <c r="AI238"/>
      <c r="AJ238" s="245"/>
      <c r="AK238"/>
      <c r="AL238" s="96" t="s">
        <v>228</v>
      </c>
      <c r="AM238" s="85" t="s">
        <v>66</v>
      </c>
      <c r="AN238" s="176">
        <f>(AM229+AM230*AJ230/365)/365*0.67*AJ220*$R$6/100*$R$17</f>
        <v>0.23577895483418679</v>
      </c>
      <c r="AO238" s="176">
        <f>(AM229+AM230*AJ230/365)/365*0.67*AJ220*$R$6/100*(365-$R$17)</f>
        <v>0.23577895483418679</v>
      </c>
      <c r="AP238" s="141" t="s">
        <v>202</v>
      </c>
      <c r="AQ238" s="65"/>
      <c r="AR238" s="474" t="s">
        <v>203</v>
      </c>
    </row>
    <row r="239" spans="21:44" x14ac:dyDescent="0.25">
      <c r="U239" s="275"/>
      <c r="Z239" s="96" t="s">
        <v>230</v>
      </c>
      <c r="AA239" s="85" t="s">
        <v>66</v>
      </c>
      <c r="AB239" s="176">
        <f>(AA226+AA227*X227/365)/365*0.67*X220*$R$6/100*$R$17*(1+$R$7)</f>
        <v>0.20545958240538553</v>
      </c>
      <c r="AC239" s="176">
        <f>(AA226+AA227*X227/365)/365*0.67*X220*$R$6/100*(365-$R$17)*(1+$R$7)</f>
        <v>0.20545958240538553</v>
      </c>
      <c r="AD239" s="141"/>
      <c r="AE239" s="65"/>
      <c r="AF239" s="320" t="s">
        <v>203</v>
      </c>
      <c r="AG239" s="476"/>
      <c r="AH239"/>
      <c r="AI239"/>
      <c r="AJ239"/>
      <c r="AK239"/>
      <c r="AL239" s="96" t="s">
        <v>230</v>
      </c>
      <c r="AM239" s="85" t="s">
        <v>66</v>
      </c>
      <c r="AN239" s="176">
        <f>(AM226+AM227*AJ227/365)/365*0.67*AJ220*$R$6/100*$R$17*(1+$R$7)</f>
        <v>0.16443270005143043</v>
      </c>
      <c r="AO239" s="176">
        <f>(AM226+AM227*AJ227/365)/365*0.67*AJ220*$R$6/100*(365-$R$17)*(1+$R$7)</f>
        <v>0.16443270005143043</v>
      </c>
      <c r="AP239" s="141"/>
      <c r="AQ239" s="65"/>
      <c r="AR239" s="474" t="s">
        <v>203</v>
      </c>
    </row>
    <row r="240" spans="21:44" x14ac:dyDescent="0.25">
      <c r="U240" s="275"/>
      <c r="Z240" s="96" t="s">
        <v>229</v>
      </c>
      <c r="AA240" s="85" t="s">
        <v>66</v>
      </c>
      <c r="AB240" s="176">
        <f>(AA229+AA230*X230/365)/365*0.67*X220*$R$6/100*$R$17*(1+$R$7)</f>
        <v>0.13360008650029309</v>
      </c>
      <c r="AC240" s="176">
        <f>(AA229+AA230*X230/365)/365*0.67*X220*$R$6/100*(365-$R$17)*(1+$R$7)</f>
        <v>0.13360008650029309</v>
      </c>
      <c r="AD240" s="141" t="s">
        <v>202</v>
      </c>
      <c r="AE240" s="65"/>
      <c r="AF240" s="320" t="s">
        <v>203</v>
      </c>
      <c r="AG240" s="476"/>
      <c r="AH240"/>
      <c r="AI240"/>
      <c r="AJ240"/>
      <c r="AK240"/>
      <c r="AL240" s="96" t="s">
        <v>229</v>
      </c>
      <c r="AM240" s="85" t="s">
        <v>66</v>
      </c>
      <c r="AN240" s="176">
        <f>(AM229+AM230*AJ230/365)/365*0.67*AJ220*$R$6/100*$R$17*(1+$R$7)</f>
        <v>9.4311581933674726E-2</v>
      </c>
      <c r="AO240" s="176">
        <f>(AM229+AM230*AJ230/365)/365*0.67*AJ220*$R$6/100*(365-$R$17)*(1+$R$7)</f>
        <v>9.4311581933674726E-2</v>
      </c>
      <c r="AP240" s="141" t="s">
        <v>202</v>
      </c>
      <c r="AQ240" s="65"/>
      <c r="AR240" s="474" t="s">
        <v>203</v>
      </c>
    </row>
    <row r="241" spans="21:44" x14ac:dyDescent="0.25">
      <c r="U241" s="275"/>
      <c r="Z241" s="96" t="s">
        <v>246</v>
      </c>
      <c r="AA241" s="85" t="s">
        <v>66</v>
      </c>
      <c r="AB241" s="258">
        <f>(AA226+AA227*X227/365)/365*0.67*X220*$R$6/100*$R$17*(1+$R$8*X232)</f>
        <v>0.51364895601346383</v>
      </c>
      <c r="AC241" s="258">
        <f>(AA226+AA227*X227/365)/365*0.67*X220*$R$6/100*(365-$R$17)*(1+$R$8*X232)</f>
        <v>0.51364895601346383</v>
      </c>
      <c r="AD241" s="141" t="s">
        <v>202</v>
      </c>
      <c r="AE241" s="65"/>
      <c r="AF241" s="320" t="s">
        <v>203</v>
      </c>
      <c r="AG241" s="476"/>
      <c r="AH241"/>
      <c r="AI241"/>
      <c r="AJ241"/>
      <c r="AK241"/>
      <c r="AL241" s="96" t="s">
        <v>246</v>
      </c>
      <c r="AM241" s="85" t="s">
        <v>66</v>
      </c>
      <c r="AN241" s="258">
        <f>(AM226+AM227*AJ227/365)/365*0.67*AJ220*$R$6/100*$R$17*(1+$R$8*AJ232)</f>
        <v>0.41108175012857606</v>
      </c>
      <c r="AO241" s="258">
        <f>(AM226+AM227*AJ227/365)/365*0.67*AJ220*$R$6/100*(365-$R$17)*(1+$R$8*AJ232)</f>
        <v>0.41108175012857606</v>
      </c>
      <c r="AP241" s="141" t="s">
        <v>202</v>
      </c>
      <c r="AQ241" s="65"/>
      <c r="AR241" s="474" t="s">
        <v>203</v>
      </c>
    </row>
    <row r="242" spans="21:44" x14ac:dyDescent="0.25">
      <c r="U242" s="275"/>
      <c r="Z242" s="96" t="s">
        <v>247</v>
      </c>
      <c r="AA242" s="85" t="s">
        <v>66</v>
      </c>
      <c r="AB242" s="202"/>
      <c r="AC242" s="202"/>
      <c r="AE242" s="65"/>
      <c r="AF242" s="320" t="s">
        <v>203</v>
      </c>
      <c r="AG242" s="476"/>
      <c r="AH242"/>
      <c r="AI242"/>
      <c r="AJ242"/>
      <c r="AK242"/>
      <c r="AL242" s="96" t="s">
        <v>247</v>
      </c>
      <c r="AM242" s="85" t="s">
        <v>66</v>
      </c>
      <c r="AN242" s="202"/>
      <c r="AO242" s="202"/>
      <c r="AP242" s="202"/>
      <c r="AQ242" s="65"/>
      <c r="AR242" s="474" t="s">
        <v>203</v>
      </c>
    </row>
    <row r="243" spans="21:44" x14ac:dyDescent="0.25">
      <c r="U243" s="275"/>
      <c r="Z243" s="96" t="s">
        <v>67</v>
      </c>
      <c r="AA243" s="85" t="s">
        <v>66</v>
      </c>
      <c r="AB243" s="176">
        <f>(_xlfn.AGGREGATE(9,6,AB226,AB227,AB229,AB230)/365)*0.67*X220*$R$9/100*$R$17</f>
        <v>6.8073041156571037</v>
      </c>
      <c r="AC243" s="176">
        <f>(_xlfn.AGGREGATE(9,6,AB226,AB227,AB229,AB230)/365)*0.67*X220*$R$9/100*(365-$R$17)</f>
        <v>6.8073041156571037</v>
      </c>
      <c r="AD243" s="141" t="s">
        <v>184</v>
      </c>
      <c r="AE243" s="65"/>
      <c r="AF243" s="320" t="s">
        <v>203</v>
      </c>
      <c r="AG243" s="476"/>
      <c r="AH243"/>
      <c r="AI243"/>
      <c r="AJ243"/>
      <c r="AK243"/>
      <c r="AL243" s="96" t="s">
        <v>67</v>
      </c>
      <c r="AM243" s="85" t="s">
        <v>66</v>
      </c>
      <c r="AN243" s="176">
        <f>(_xlfn.AGGREGATE(9,6,AN226,AN227,AN229,AN230)/365)*0.67*AJ220*$R$9/100*$R$17</f>
        <v>5.139019993006201</v>
      </c>
      <c r="AO243" s="176">
        <f>(_xlfn.AGGREGATE(9,6,AN226,AN227,AN229,AN230)/365)*0.67*AJ220*$R$9/100*(365-$R$17)</f>
        <v>5.139019993006201</v>
      </c>
      <c r="AP243" s="141" t="s">
        <v>184</v>
      </c>
      <c r="AQ243" s="65"/>
      <c r="AR243" s="474" t="s">
        <v>203</v>
      </c>
    </row>
    <row r="244" spans="21:44" x14ac:dyDescent="0.25">
      <c r="U244" s="275"/>
      <c r="Z244" s="21"/>
      <c r="AA244" s="5"/>
      <c r="AB244" s="5"/>
      <c r="AC244" s="5"/>
      <c r="AD244" s="204"/>
      <c r="AE244" s="125" t="s">
        <v>71</v>
      </c>
      <c r="AF244" s="320" t="s">
        <v>203</v>
      </c>
      <c r="AG244" s="476"/>
      <c r="AH244"/>
      <c r="AI244"/>
      <c r="AJ244"/>
      <c r="AK244"/>
      <c r="AL244" s="21"/>
      <c r="AM244" s="5"/>
      <c r="AN244" s="5"/>
      <c r="AO244" s="5"/>
      <c r="AP244" s="204"/>
      <c r="AQ244" s="125" t="s">
        <v>71</v>
      </c>
      <c r="AR244" s="474" t="s">
        <v>203</v>
      </c>
    </row>
    <row r="245" spans="21:44" x14ac:dyDescent="0.25">
      <c r="U245" s="275"/>
      <c r="Z245" s="97" t="s">
        <v>68</v>
      </c>
      <c r="AA245" s="85" t="s">
        <v>66</v>
      </c>
      <c r="AB245" s="93">
        <f xml:space="preserve"> _xlfn.AGGREGATE(9, 6, AB243:AC243, AB237:AC238,AB234)</f>
        <v>15.407664765927196</v>
      </c>
      <c r="AC245" s="176"/>
      <c r="AD245" s="141" t="s">
        <v>118</v>
      </c>
      <c r="AE245" s="65"/>
      <c r="AF245" s="320" t="s">
        <v>203</v>
      </c>
      <c r="AG245" s="476"/>
      <c r="AH245"/>
      <c r="AI245"/>
      <c r="AJ245"/>
      <c r="AK245"/>
      <c r="AL245" s="97" t="s">
        <v>68</v>
      </c>
      <c r="AM245" s="85" t="s">
        <v>66</v>
      </c>
      <c r="AN245" s="93">
        <f xml:space="preserve"> _xlfn.AGGREGATE(9, 6, AN243:AO243, AN237:AO238,AN234)</f>
        <v>11.644221798360812</v>
      </c>
      <c r="AO245" s="176"/>
      <c r="AP245" s="141" t="s">
        <v>118</v>
      </c>
      <c r="AQ245" s="65"/>
      <c r="AR245" s="474" t="s">
        <v>203</v>
      </c>
    </row>
    <row r="246" spans="21:44" x14ac:dyDescent="0.25">
      <c r="U246" s="275"/>
      <c r="Z246" s="97" t="s">
        <v>248</v>
      </c>
      <c r="AA246" s="85" t="s">
        <v>66</v>
      </c>
      <c r="AB246" s="259">
        <f xml:space="preserve"> _xlfn.AGGREGATE(9, 6, AB243:AC243, AB241:AC242,AB234,AB238:AC238)</f>
        <v>15.407664765927196</v>
      </c>
      <c r="AC246" s="85"/>
      <c r="AD246" s="141"/>
      <c r="AE246" s="65"/>
      <c r="AF246" s="320" t="s">
        <v>203</v>
      </c>
      <c r="AG246" s="476"/>
      <c r="AH246"/>
      <c r="AI246"/>
      <c r="AJ246"/>
      <c r="AK246"/>
      <c r="AL246" s="97" t="s">
        <v>248</v>
      </c>
      <c r="AM246" s="85" t="s">
        <v>66</v>
      </c>
      <c r="AN246" s="259">
        <f xml:space="preserve"> _xlfn.AGGREGATE(9, 6, AN243:AO243, AN241:AO242,AN234,AN238:AO238)</f>
        <v>11.644221798360812</v>
      </c>
      <c r="AO246" s="85"/>
      <c r="AP246" s="141"/>
      <c r="AQ246" s="65"/>
      <c r="AR246" s="474" t="s">
        <v>203</v>
      </c>
    </row>
    <row r="247" spans="21:44" x14ac:dyDescent="0.25">
      <c r="U247" s="275"/>
      <c r="Z247" s="54"/>
      <c r="AA247" s="55" t="s">
        <v>238</v>
      </c>
      <c r="AB247" s="14" t="s">
        <v>381</v>
      </c>
      <c r="AC247" s="15" t="s">
        <v>382</v>
      </c>
      <c r="AD247" s="141"/>
      <c r="AE247" s="65"/>
      <c r="AF247" s="320" t="s">
        <v>203</v>
      </c>
      <c r="AG247" s="476"/>
      <c r="AH247"/>
      <c r="AI247"/>
      <c r="AJ247"/>
      <c r="AK247"/>
      <c r="AL247" s="54"/>
      <c r="AM247" s="55" t="s">
        <v>238</v>
      </c>
      <c r="AN247" s="14" t="s">
        <v>381</v>
      </c>
      <c r="AO247" s="15" t="s">
        <v>382</v>
      </c>
      <c r="AP247" s="141"/>
      <c r="AQ247" s="65"/>
      <c r="AR247" s="474" t="s">
        <v>203</v>
      </c>
    </row>
    <row r="248" spans="21:44" x14ac:dyDescent="0.25">
      <c r="U248" s="275"/>
      <c r="Z248" s="52" t="s">
        <v>421</v>
      </c>
      <c r="AA248" s="333">
        <f>AB234</f>
        <v>9.7758190084596089E-2</v>
      </c>
      <c r="AB248" s="333">
        <f xml:space="preserve"> _xlfn.AGGREGATE(9, 6, AB243, AB241:AB242,AB238)</f>
        <v>7.6549532879213</v>
      </c>
      <c r="AC248" s="334">
        <f xml:space="preserve"> _xlfn.AGGREGATE(9, 6, AC243, AC241:AC242,AC238)</f>
        <v>7.6549532879213</v>
      </c>
      <c r="AD248" s="141"/>
      <c r="AE248" s="65"/>
      <c r="AF248" s="320" t="s">
        <v>203</v>
      </c>
      <c r="AG248" s="476"/>
      <c r="AH248"/>
      <c r="AI248"/>
      <c r="AJ248"/>
      <c r="AK248"/>
      <c r="AL248" s="52" t="s">
        <v>421</v>
      </c>
      <c r="AM248" s="333">
        <f>AN234</f>
        <v>7.2460402422886511E-2</v>
      </c>
      <c r="AN248" s="333">
        <f xml:space="preserve"> _xlfn.AGGREGATE(9, 6, AN243, AN241:AN242,AN238)</f>
        <v>5.7858806979689641</v>
      </c>
      <c r="AO248" s="334">
        <f xml:space="preserve"> _xlfn.AGGREGATE(9, 6, AO243, AO241:AO242,AO238)</f>
        <v>5.7858806979689641</v>
      </c>
      <c r="AP248" s="141"/>
      <c r="AQ248" s="65"/>
      <c r="AR248" s="474" t="s">
        <v>203</v>
      </c>
    </row>
    <row r="249" spans="21:44" x14ac:dyDescent="0.25">
      <c r="U249" s="275"/>
      <c r="Z249" s="97"/>
      <c r="AA249" s="85"/>
      <c r="AB249" s="85"/>
      <c r="AC249" s="85"/>
      <c r="AD249" s="141"/>
      <c r="AE249" s="65"/>
      <c r="AF249" s="320" t="s">
        <v>203</v>
      </c>
      <c r="AG249" s="476"/>
      <c r="AH249"/>
      <c r="AI249"/>
      <c r="AJ249"/>
      <c r="AK249"/>
      <c r="AL249" s="97"/>
      <c r="AM249" s="85"/>
      <c r="AN249" s="85"/>
      <c r="AO249" s="85"/>
      <c r="AP249" s="141"/>
      <c r="AQ249" s="65"/>
      <c r="AR249" s="474" t="s">
        <v>203</v>
      </c>
    </row>
    <row r="250" spans="21:44" x14ac:dyDescent="0.25">
      <c r="U250" s="275"/>
      <c r="Z250" s="96" t="s">
        <v>181</v>
      </c>
      <c r="AA250" s="85"/>
      <c r="AB250" s="176"/>
      <c r="AC250" s="176"/>
      <c r="AD250" s="141"/>
      <c r="AE250" s="65"/>
      <c r="AF250" s="320" t="s">
        <v>203</v>
      </c>
      <c r="AG250" s="476"/>
      <c r="AH250"/>
      <c r="AI250"/>
      <c r="AJ250"/>
      <c r="AK250"/>
      <c r="AL250" s="96" t="s">
        <v>181</v>
      </c>
      <c r="AM250" s="85"/>
      <c r="AN250" s="176"/>
      <c r="AO250" s="176"/>
      <c r="AP250" s="141"/>
      <c r="AQ250" s="65"/>
      <c r="AR250" s="474" t="s">
        <v>203</v>
      </c>
    </row>
    <row r="251" spans="21:44" x14ac:dyDescent="0.25">
      <c r="U251" s="275"/>
      <c r="Z251" s="96" t="s">
        <v>185</v>
      </c>
      <c r="AA251" s="84" t="s">
        <v>13</v>
      </c>
      <c r="AB251" s="176">
        <f>AB245*$R$14</f>
        <v>429.87384696936874</v>
      </c>
      <c r="AC251" s="176"/>
      <c r="AD251" s="141" t="s">
        <v>117</v>
      </c>
      <c r="AE251" s="65"/>
      <c r="AF251" s="320" t="s">
        <v>203</v>
      </c>
      <c r="AG251" s="476"/>
      <c r="AH251"/>
      <c r="AI251"/>
      <c r="AJ251"/>
      <c r="AK251"/>
      <c r="AL251" s="96" t="s">
        <v>185</v>
      </c>
      <c r="AM251" s="84" t="s">
        <v>13</v>
      </c>
      <c r="AN251" s="176">
        <f>AN245*$R$14</f>
        <v>324.87378817426662</v>
      </c>
      <c r="AO251" s="176"/>
      <c r="AP251" s="141" t="s">
        <v>117</v>
      </c>
      <c r="AQ251" s="65"/>
      <c r="AR251" s="474" t="s">
        <v>203</v>
      </c>
    </row>
    <row r="252" spans="21:44" x14ac:dyDescent="0.25">
      <c r="U252" s="275"/>
      <c r="Z252" s="96" t="s">
        <v>249</v>
      </c>
      <c r="AA252" s="84" t="s">
        <v>13</v>
      </c>
      <c r="AB252" s="258">
        <f>AB246*$R$14</f>
        <v>429.87384696936874</v>
      </c>
      <c r="AC252" s="176"/>
      <c r="AD252" s="141" t="s">
        <v>117</v>
      </c>
      <c r="AE252" s="65"/>
      <c r="AF252" s="320" t="s">
        <v>203</v>
      </c>
      <c r="AG252" s="476"/>
      <c r="AH252"/>
      <c r="AI252"/>
      <c r="AJ252"/>
      <c r="AK252"/>
      <c r="AL252" s="96" t="s">
        <v>249</v>
      </c>
      <c r="AM252" s="84" t="s">
        <v>13</v>
      </c>
      <c r="AN252" s="258">
        <f>AN246*$R$14</f>
        <v>324.87378817426662</v>
      </c>
      <c r="AO252" s="176"/>
      <c r="AP252" s="141" t="s">
        <v>117</v>
      </c>
      <c r="AQ252" s="65"/>
      <c r="AR252" s="474" t="s">
        <v>203</v>
      </c>
    </row>
    <row r="253" spans="21:44" x14ac:dyDescent="0.25">
      <c r="U253" s="275"/>
      <c r="Z253" s="25"/>
      <c r="AA253" s="55" t="s">
        <v>238</v>
      </c>
      <c r="AB253" s="14" t="s">
        <v>381</v>
      </c>
      <c r="AC253" s="15" t="s">
        <v>382</v>
      </c>
      <c r="AE253" s="18"/>
      <c r="AF253" s="320" t="s">
        <v>203</v>
      </c>
      <c r="AG253" s="476"/>
      <c r="AH253"/>
      <c r="AI253"/>
      <c r="AJ253"/>
      <c r="AK253"/>
      <c r="AL253" s="25"/>
      <c r="AM253" s="55" t="s">
        <v>238</v>
      </c>
      <c r="AN253" s="14" t="s">
        <v>381</v>
      </c>
      <c r="AO253" s="15" t="s">
        <v>382</v>
      </c>
      <c r="AP253" s="202"/>
      <c r="AQ253" s="18"/>
      <c r="AR253" s="474" t="s">
        <v>203</v>
      </c>
    </row>
    <row r="254" spans="21:44" x14ac:dyDescent="0.25">
      <c r="U254" s="275"/>
      <c r="Z254" s="29" t="s">
        <v>422</v>
      </c>
      <c r="AA254" s="333">
        <f>AA248*$R$14</f>
        <v>2.727453503360231</v>
      </c>
      <c r="AB254" s="333">
        <f>AB248*$R$14</f>
        <v>213.57319673300427</v>
      </c>
      <c r="AC254" s="334">
        <f>AC248*$R$14</f>
        <v>213.57319673300427</v>
      </c>
      <c r="AD254" s="335" t="s">
        <v>117</v>
      </c>
      <c r="AE254" s="23"/>
      <c r="AF254" s="320" t="s">
        <v>203</v>
      </c>
      <c r="AG254" s="476"/>
      <c r="AH254"/>
      <c r="AI254"/>
      <c r="AJ254"/>
      <c r="AK254"/>
      <c r="AL254" s="29" t="s">
        <v>422</v>
      </c>
      <c r="AM254" s="333">
        <f>AM248*$R$14</f>
        <v>2.0216452275985337</v>
      </c>
      <c r="AN254" s="333">
        <f>AN248*$R$14</f>
        <v>161.42607147333408</v>
      </c>
      <c r="AO254" s="334">
        <f>AO248*$R$14</f>
        <v>161.42607147333408</v>
      </c>
      <c r="AP254" s="335" t="s">
        <v>117</v>
      </c>
      <c r="AQ254" s="23"/>
      <c r="AR254" s="474" t="s">
        <v>203</v>
      </c>
    </row>
    <row r="255" spans="21:44" x14ac:dyDescent="0.25">
      <c r="AF255" s="320" t="s">
        <v>203</v>
      </c>
      <c r="AG255"/>
      <c r="AH255"/>
      <c r="AI255"/>
      <c r="AJ255"/>
      <c r="AK255"/>
      <c r="AL255"/>
      <c r="AM255"/>
      <c r="AN255"/>
      <c r="AO255"/>
      <c r="AP255" s="202"/>
      <c r="AQ255"/>
      <c r="AR255" s="474" t="s">
        <v>203</v>
      </c>
    </row>
    <row r="256" spans="21:44" x14ac:dyDescent="0.25">
      <c r="U256" s="275"/>
      <c r="V256" s="670" t="s">
        <v>609</v>
      </c>
      <c r="AF256" s="320" t="s">
        <v>203</v>
      </c>
      <c r="AG256" s="476"/>
      <c r="AH256" s="670" t="s">
        <v>590</v>
      </c>
      <c r="AI256"/>
      <c r="AJ256"/>
      <c r="AK256"/>
      <c r="AL256"/>
      <c r="AM256"/>
      <c r="AN256"/>
      <c r="AO256"/>
      <c r="AP256" s="202"/>
      <c r="AQ256"/>
      <c r="AR256" s="474" t="s">
        <v>203</v>
      </c>
    </row>
    <row r="257" spans="21:44" x14ac:dyDescent="0.25">
      <c r="U257" s="275"/>
      <c r="W257" s="670" t="s">
        <v>65</v>
      </c>
      <c r="X257">
        <f>INDEX($Q$2:$S$3, 2,MATCH(W257,$Q$2:$S$2,0))</f>
        <v>0.18</v>
      </c>
      <c r="Y257" t="s">
        <v>63</v>
      </c>
      <c r="Z257" s="103"/>
      <c r="AA257" s="191"/>
      <c r="AB257" s="191"/>
      <c r="AC257" s="191"/>
      <c r="AD257" s="237"/>
      <c r="AE257" s="238"/>
      <c r="AF257" s="320" t="s">
        <v>203</v>
      </c>
      <c r="AG257" s="476"/>
      <c r="AH257"/>
      <c r="AI257" s="670" t="s">
        <v>65</v>
      </c>
      <c r="AJ257">
        <f>INDEX($Q$2:$S$3, 2,MATCH(AI257,$Q$2:$S$2,0))</f>
        <v>0.18</v>
      </c>
      <c r="AK257" t="s">
        <v>63</v>
      </c>
      <c r="AL257" s="103"/>
      <c r="AM257" s="191"/>
      <c r="AN257" s="191"/>
      <c r="AO257" s="191"/>
      <c r="AP257" s="237"/>
      <c r="AQ257" s="238"/>
      <c r="AR257" s="474" t="s">
        <v>203</v>
      </c>
    </row>
    <row r="258" spans="21:44" x14ac:dyDescent="0.25">
      <c r="U258" s="275"/>
      <c r="W258" s="108" t="s">
        <v>93</v>
      </c>
      <c r="X258" s="109"/>
      <c r="Z258" s="239" t="s">
        <v>231</v>
      </c>
      <c r="AA258" s="194"/>
      <c r="AB258" s="194"/>
      <c r="AC258" s="194"/>
      <c r="AD258" s="240"/>
      <c r="AE258" s="241"/>
      <c r="AF258" s="320" t="s">
        <v>203</v>
      </c>
      <c r="AG258" s="476"/>
      <c r="AH258"/>
      <c r="AI258" s="108" t="s">
        <v>93</v>
      </c>
      <c r="AJ258" s="109"/>
      <c r="AK258"/>
      <c r="AL258" s="239" t="s">
        <v>231</v>
      </c>
      <c r="AM258" s="194"/>
      <c r="AN258" s="194"/>
      <c r="AO258" s="194"/>
      <c r="AP258" s="240"/>
      <c r="AQ258" s="241"/>
      <c r="AR258" s="474" t="s">
        <v>203</v>
      </c>
    </row>
    <row r="259" spans="21:44" x14ac:dyDescent="0.25">
      <c r="U259" s="275"/>
      <c r="W259" s="110" t="s">
        <v>81</v>
      </c>
      <c r="X259" s="665">
        <v>0</v>
      </c>
      <c r="Z259" s="126"/>
      <c r="AA259" s="192"/>
      <c r="AB259" s="192"/>
      <c r="AC259" s="192"/>
      <c r="AD259" s="242"/>
      <c r="AE259" s="243"/>
      <c r="AF259" s="320" t="s">
        <v>203</v>
      </c>
      <c r="AG259" s="476"/>
      <c r="AH259"/>
      <c r="AI259" s="110" t="s">
        <v>81</v>
      </c>
      <c r="AJ259" s="665">
        <v>0</v>
      </c>
      <c r="AK259"/>
      <c r="AL259" s="126"/>
      <c r="AM259" s="192"/>
      <c r="AN259" s="192"/>
      <c r="AO259" s="192"/>
      <c r="AP259" s="242"/>
      <c r="AQ259" s="243"/>
      <c r="AR259" s="474" t="s">
        <v>203</v>
      </c>
    </row>
    <row r="260" spans="21:44" x14ac:dyDescent="0.25">
      <c r="U260" s="275"/>
      <c r="W260" s="228" t="s">
        <v>82</v>
      </c>
      <c r="X260" s="666">
        <v>0</v>
      </c>
      <c r="Z260" s="127"/>
      <c r="AA260" s="54" t="s">
        <v>5</v>
      </c>
      <c r="AB260" s="187" t="s">
        <v>6</v>
      </c>
      <c r="AC260" s="128"/>
      <c r="AD260" s="203"/>
      <c r="AE260" s="124"/>
      <c r="AF260" s="320" t="s">
        <v>203</v>
      </c>
      <c r="AG260" s="476"/>
      <c r="AH260"/>
      <c r="AI260" s="228" t="s">
        <v>82</v>
      </c>
      <c r="AJ260" s="666">
        <v>0</v>
      </c>
      <c r="AK260"/>
      <c r="AL260" s="127"/>
      <c r="AM260" s="54" t="s">
        <v>5</v>
      </c>
      <c r="AN260" s="187" t="s">
        <v>6</v>
      </c>
      <c r="AO260" s="128"/>
      <c r="AP260" s="203"/>
      <c r="AQ260" s="124"/>
      <c r="AR260" s="474" t="s">
        <v>203</v>
      </c>
    </row>
    <row r="261" spans="21:44" x14ac:dyDescent="0.25">
      <c r="U261" s="275"/>
      <c r="Z261" s="96" t="s">
        <v>145</v>
      </c>
      <c r="AA261" s="183">
        <f>INDEX(Normtal!$Q$3:$AC$551,MATCH('CH4_Gylle_Stald&amp;Lager'!V256,Normtal!$Q$3:$Q$551,0),9)*(X259/365)*(X260/24)</f>
        <v>0</v>
      </c>
      <c r="AB261" s="78"/>
      <c r="AC261" s="44"/>
      <c r="AD261" s="204" t="s">
        <v>147</v>
      </c>
      <c r="AE261" s="65"/>
      <c r="AF261" s="320" t="s">
        <v>203</v>
      </c>
      <c r="AG261" s="476"/>
      <c r="AH261"/>
      <c r="AI261"/>
      <c r="AJ261"/>
      <c r="AK261"/>
      <c r="AL261" s="96" t="s">
        <v>145</v>
      </c>
      <c r="AM261" s="183">
        <f>INDEX(Normtal!$Q$3:$AC$551,MATCH('CH4_Gylle_Stald&amp;Lager'!AH256,Normtal!$Q$3:$Q$551,0),9)*(AJ259/365)*(AJ260/24)</f>
        <v>0</v>
      </c>
      <c r="AN261" s="78"/>
      <c r="AO261" s="44"/>
      <c r="AP261" s="204" t="s">
        <v>147</v>
      </c>
      <c r="AQ261" s="65"/>
      <c r="AR261" s="474" t="s">
        <v>203</v>
      </c>
    </row>
    <row r="262" spans="21:44" x14ac:dyDescent="0.25">
      <c r="U262" s="275"/>
      <c r="V262" s="45"/>
      <c r="W262" s="229" t="s">
        <v>221</v>
      </c>
      <c r="X262" s="230"/>
      <c r="Z262" s="96"/>
      <c r="AA262" s="667"/>
      <c r="AB262" s="220" t="s">
        <v>210</v>
      </c>
      <c r="AC262" s="5"/>
      <c r="AD262" s="226"/>
      <c r="AE262" s="65"/>
      <c r="AF262" s="320" t="s">
        <v>203</v>
      </c>
      <c r="AG262" s="476"/>
      <c r="AH262" s="45"/>
      <c r="AI262" s="229" t="s">
        <v>221</v>
      </c>
      <c r="AJ262" s="230"/>
      <c r="AK262"/>
      <c r="AL262" s="96"/>
      <c r="AM262" s="667"/>
      <c r="AN262" s="220" t="s">
        <v>210</v>
      </c>
      <c r="AO262" s="5"/>
      <c r="AP262" s="226"/>
      <c r="AQ262" s="65"/>
      <c r="AR262" s="474" t="s">
        <v>203</v>
      </c>
    </row>
    <row r="263" spans="21:44" x14ac:dyDescent="0.25">
      <c r="U263" s="275"/>
      <c r="V263" s="5"/>
      <c r="W263" s="231" t="s">
        <v>224</v>
      </c>
      <c r="X263" s="669">
        <v>0</v>
      </c>
      <c r="Z263" s="97" t="s">
        <v>115</v>
      </c>
      <c r="AA263" s="183" t="e">
        <f>INDEX(Normtal!$Q$3:$AC$551,MATCH('CH4_Gylle_Stald&amp;Lager'!AA262,Normtal!$AA$3:$AA$551,0),9)*$X264/365</f>
        <v>#N/A</v>
      </c>
      <c r="AB263" s="183" t="e">
        <f>INDEX(Normtal!$Q$3:$AC$551,MATCH('CH4_Gylle_Stald&amp;Lager'!AB262,Normtal!$AA$3:$AA$551,0),9)*$X264/365</f>
        <v>#N/A</v>
      </c>
      <c r="AC263" s="44"/>
      <c r="AD263" s="204"/>
      <c r="AE263" s="65"/>
      <c r="AF263" s="320" t="s">
        <v>203</v>
      </c>
      <c r="AG263" s="476"/>
      <c r="AH263" s="5"/>
      <c r="AI263" s="231" t="s">
        <v>224</v>
      </c>
      <c r="AJ263" s="669">
        <v>0</v>
      </c>
      <c r="AK263"/>
      <c r="AL263" s="97" t="s">
        <v>115</v>
      </c>
      <c r="AM263" s="183" t="e">
        <f>INDEX(Normtal!$Q$3:$AC$551,MATCH('CH4_Gylle_Stald&amp;Lager'!AM262,Normtal!$AA$3:$AA$551,0),9)*$AJ264/365</f>
        <v>#N/A</v>
      </c>
      <c r="AN263" s="183" t="e">
        <f>INDEX(Normtal!$Q$3:$AC$551,MATCH('CH4_Gylle_Stald&amp;Lager'!AN262,Normtal!$AA$3:$AA$551,0),9)*$AJ264/365</f>
        <v>#N/A</v>
      </c>
      <c r="AO263" s="44"/>
      <c r="AP263" s="204"/>
      <c r="AQ263" s="65"/>
      <c r="AR263" s="474" t="s">
        <v>203</v>
      </c>
    </row>
    <row r="264" spans="21:44" x14ac:dyDescent="0.25">
      <c r="U264" s="275"/>
      <c r="W264" s="233" t="s">
        <v>223</v>
      </c>
      <c r="X264" s="583">
        <f>(365-X259*X260/24)*X263</f>
        <v>0</v>
      </c>
      <c r="Z264" s="97" t="s">
        <v>116</v>
      </c>
      <c r="AA264" s="183" t="e">
        <f>INDEX(Normtal!$Q$3:$AC$551,MATCH('CH4_Gylle_Stald&amp;Lager'!AA262,Normtal!$AA$3:$AA$551,0),7)*$X264/365</f>
        <v>#N/A</v>
      </c>
      <c r="AB264" s="183" t="e">
        <f>INDEX(Normtal!$Q$3:$AC$551,MATCH('CH4_Gylle_Stald&amp;Lager'!AB262,Normtal!$AA$3:$AA$551,0),7)*$X264/365</f>
        <v>#N/A</v>
      </c>
      <c r="AC264" s="44"/>
      <c r="AD264" s="204"/>
      <c r="AE264" s="65"/>
      <c r="AF264" s="320" t="s">
        <v>203</v>
      </c>
      <c r="AG264" s="476"/>
      <c r="AH264"/>
      <c r="AI264" s="233" t="s">
        <v>223</v>
      </c>
      <c r="AJ264" s="583">
        <f>(365-AJ259*AJ260/24)*AJ263</f>
        <v>0</v>
      </c>
      <c r="AK264"/>
      <c r="AL264" s="97" t="s">
        <v>116</v>
      </c>
      <c r="AM264" s="183" t="e">
        <f>INDEX(Normtal!$Q$3:$AC$551,MATCH('CH4_Gylle_Stald&amp;Lager'!AM262,Normtal!$AA$3:$AA$551,0),7)*$AJ264/365</f>
        <v>#N/A</v>
      </c>
      <c r="AN264" s="183" t="e">
        <f>INDEX(Normtal!$Q$3:$AC$551,MATCH('CH4_Gylle_Stald&amp;Lager'!AN262,Normtal!$AA$3:$AA$551,0),7)*$AJ264/365</f>
        <v>#N/A</v>
      </c>
      <c r="AO264" s="44"/>
      <c r="AP264" s="204"/>
      <c r="AQ264" s="65"/>
      <c r="AR264" s="474" t="s">
        <v>203</v>
      </c>
    </row>
    <row r="265" spans="21:44" x14ac:dyDescent="0.25">
      <c r="U265" s="275"/>
      <c r="W265" s="229" t="s">
        <v>337</v>
      </c>
      <c r="X265" s="230"/>
      <c r="Z265" s="225"/>
      <c r="AA265" s="667"/>
      <c r="AB265" s="667" t="s">
        <v>592</v>
      </c>
      <c r="AC265" s="5"/>
      <c r="AD265" s="227"/>
      <c r="AE265" s="65"/>
      <c r="AF265" s="320" t="s">
        <v>203</v>
      </c>
      <c r="AG265" s="476"/>
      <c r="AH265"/>
      <c r="AI265" s="229" t="s">
        <v>337</v>
      </c>
      <c r="AJ265" s="230"/>
      <c r="AK265"/>
      <c r="AL265" s="225"/>
      <c r="AM265" s="667"/>
      <c r="AN265" s="667" t="s">
        <v>608</v>
      </c>
      <c r="AO265" s="5"/>
      <c r="AP265" s="227"/>
      <c r="AQ265" s="65"/>
      <c r="AR265" s="474" t="s">
        <v>203</v>
      </c>
    </row>
    <row r="266" spans="21:44" x14ac:dyDescent="0.25">
      <c r="U266" s="275"/>
      <c r="W266" s="231" t="s">
        <v>224</v>
      </c>
      <c r="X266" s="232">
        <f>1-X263</f>
        <v>1</v>
      </c>
      <c r="Z266" s="97" t="s">
        <v>115</v>
      </c>
      <c r="AA266" s="183" t="e">
        <f>INDEX(Normtal!$Q$3:$AC$551,MATCH('CH4_Gylle_Stald&amp;Lager'!AA265,Normtal!$AA$3:$AA$551,0),9)*$X267/365</f>
        <v>#N/A</v>
      </c>
      <c r="AB266" s="183">
        <f>INDEX(Normtal!$Q$3:$AC$551,MATCH('CH4_Gylle_Stald&amp;Lager'!AB265,Normtal!$AA$3:$AA$551,0),9)*$X267/365</f>
        <v>7.8606120913242004</v>
      </c>
      <c r="AC266" s="44"/>
      <c r="AD266" s="204" t="s">
        <v>148</v>
      </c>
      <c r="AE266" s="65"/>
      <c r="AF266" s="320" t="s">
        <v>203</v>
      </c>
      <c r="AG266" s="476"/>
      <c r="AH266"/>
      <c r="AI266" s="231" t="s">
        <v>224</v>
      </c>
      <c r="AJ266" s="232">
        <f>1-AJ263</f>
        <v>1</v>
      </c>
      <c r="AK266"/>
      <c r="AL266" s="97" t="s">
        <v>115</v>
      </c>
      <c r="AM266" s="183" t="e">
        <f>INDEX(Normtal!$Q$3:$AC$551,MATCH('CH4_Gylle_Stald&amp;Lager'!AM265,Normtal!$AA$3:$AA$551,0),9)*$AJ267/365</f>
        <v>#N/A</v>
      </c>
      <c r="AN266" s="183">
        <f>INDEX(Normtal!$Q$3:$AC$551,MATCH('CH4_Gylle_Stald&amp;Lager'!AN265,Normtal!$AA$3:$AA$551,0),9)*$AJ267/365</f>
        <v>6.9813009914221213</v>
      </c>
      <c r="AO266" s="44"/>
      <c r="AP266" s="204" t="s">
        <v>148</v>
      </c>
      <c r="AQ266" s="65"/>
      <c r="AR266" s="474" t="s">
        <v>203</v>
      </c>
    </row>
    <row r="267" spans="21:44" x14ac:dyDescent="0.25">
      <c r="U267" s="275"/>
      <c r="V267" s="5"/>
      <c r="W267" s="233" t="s">
        <v>81</v>
      </c>
      <c r="X267" s="234">
        <f>(365-X259*X260/24)*X266</f>
        <v>365</v>
      </c>
      <c r="Z267" s="97" t="s">
        <v>116</v>
      </c>
      <c r="AA267" s="222" t="e">
        <f>INDEX(Normtal!$Q$3:$AC$551,MATCH('CH4_Gylle_Stald&amp;Lager'!AA265,Normtal!$AA$3:$AA$551,0),7)*$X267/365</f>
        <v>#N/A</v>
      </c>
      <c r="AB267" s="222">
        <f>INDEX(Normtal!$Q$3:$AC$551,MATCH('CH4_Gylle_Stald&amp;Lager'!AB265,Normtal!$AA$3:$AA$551,0),7)*$X267/365</f>
        <v>442.10624999999999</v>
      </c>
      <c r="AC267" s="44"/>
      <c r="AD267" s="141"/>
      <c r="AE267" s="65"/>
      <c r="AF267" s="320" t="s">
        <v>203</v>
      </c>
      <c r="AG267" s="476"/>
      <c r="AH267" s="5"/>
      <c r="AI267" s="233" t="s">
        <v>81</v>
      </c>
      <c r="AJ267" s="234">
        <f>(365-AJ259*AJ260/24)*AJ266</f>
        <v>365</v>
      </c>
      <c r="AK267"/>
      <c r="AL267" s="97" t="s">
        <v>116</v>
      </c>
      <c r="AM267" s="222" t="e">
        <f>INDEX(Normtal!$Q$3:$AC$551,MATCH('CH4_Gylle_Stald&amp;Lager'!AM265,Normtal!$AA$3:$AA$551,0),7)*$AJ267/365</f>
        <v>#N/A</v>
      </c>
      <c r="AN267" s="222">
        <f>INDEX(Normtal!$Q$3:$AC$551,MATCH('CH4_Gylle_Stald&amp;Lager'!AN265,Normtal!$AA$3:$AA$551,0),7)*$AJ267/365</f>
        <v>353.685</v>
      </c>
      <c r="AO267" s="44"/>
      <c r="AP267" s="141"/>
      <c r="AQ267" s="65"/>
      <c r="AR267" s="474" t="s">
        <v>203</v>
      </c>
    </row>
    <row r="268" spans="21:44" x14ac:dyDescent="0.25">
      <c r="U268" s="275"/>
      <c r="Z268" s="235" t="s">
        <v>225</v>
      </c>
      <c r="AA268" s="90">
        <f>_xlfn.AGGREGATE(9,6,AA261:AB261,AA263:AB263,AA266:AB266)</f>
        <v>7.8606120913242004</v>
      </c>
      <c r="AB268" s="267">
        <f>INDEX(Normtal!$Q$3:$AC$551,MATCH('CH4_Gylle_Stald&amp;Lager'!V256,Normtal!$Q$3:$Q$551,0),9)</f>
        <v>7.8606120913242012</v>
      </c>
      <c r="AC268" s="44"/>
      <c r="AD268" s="141"/>
      <c r="AE268" s="65"/>
      <c r="AF268" s="320" t="s">
        <v>203</v>
      </c>
      <c r="AG268" s="476"/>
      <c r="AH268"/>
      <c r="AI268"/>
      <c r="AJ268"/>
      <c r="AK268"/>
      <c r="AL268" s="235" t="s">
        <v>225</v>
      </c>
      <c r="AM268" s="90">
        <f>_xlfn.AGGREGATE(9,6,AM261:AN261,AM263:AN263,AM266:AN266)</f>
        <v>6.9813009914221213</v>
      </c>
      <c r="AN268" s="267">
        <f>INDEX(Normtal!$Q$3:$AC$551,MATCH('CH4_Gylle_Stald&amp;Lager'!AH256,Normtal!$Q$3:$Q$551,0),9)</f>
        <v>6.9813009914221222</v>
      </c>
      <c r="AO268" s="44"/>
      <c r="AP268" s="141"/>
      <c r="AQ268" s="65"/>
      <c r="AR268" s="474" t="s">
        <v>203</v>
      </c>
    </row>
    <row r="269" spans="21:44" x14ac:dyDescent="0.25">
      <c r="U269" s="275"/>
      <c r="W269" s="257" t="s">
        <v>245</v>
      </c>
      <c r="X269" s="668">
        <v>0</v>
      </c>
      <c r="Z269" s="96"/>
      <c r="AA269" s="85"/>
      <c r="AB269" s="93"/>
      <c r="AC269" s="93"/>
      <c r="AD269" s="141"/>
      <c r="AE269" s="65"/>
      <c r="AF269" s="320" t="s">
        <v>203</v>
      </c>
      <c r="AG269" s="476"/>
      <c r="AH269"/>
      <c r="AI269" s="257" t="s">
        <v>245</v>
      </c>
      <c r="AJ269" s="668">
        <v>0</v>
      </c>
      <c r="AK269"/>
      <c r="AL269" s="96"/>
      <c r="AM269" s="85"/>
      <c r="AN269" s="93"/>
      <c r="AO269" s="93"/>
      <c r="AP269" s="141"/>
      <c r="AQ269" s="65"/>
      <c r="AR269" s="474" t="s">
        <v>203</v>
      </c>
    </row>
    <row r="270" spans="21:44" x14ac:dyDescent="0.25">
      <c r="U270" s="275"/>
      <c r="Z270" s="96" t="s">
        <v>84</v>
      </c>
      <c r="AA270" s="85"/>
      <c r="AB270" s="85"/>
      <c r="AC270" s="85"/>
      <c r="AD270" s="141"/>
      <c r="AE270" s="65"/>
      <c r="AF270" s="320" t="s">
        <v>203</v>
      </c>
      <c r="AG270" s="476"/>
      <c r="AH270"/>
      <c r="AI270"/>
      <c r="AJ270"/>
      <c r="AK270"/>
      <c r="AL270" s="96" t="s">
        <v>84</v>
      </c>
      <c r="AM270" s="85"/>
      <c r="AN270" s="85"/>
      <c r="AO270" s="85"/>
      <c r="AP270" s="141"/>
      <c r="AQ270" s="65"/>
      <c r="AR270" s="474" t="s">
        <v>203</v>
      </c>
    </row>
    <row r="271" spans="21:44" x14ac:dyDescent="0.25">
      <c r="U271" s="275"/>
      <c r="W271" s="77" t="s">
        <v>226</v>
      </c>
      <c r="X271" s="236">
        <f>X259*X260/24+X264+X267</f>
        <v>365</v>
      </c>
      <c r="Z271" s="97" t="s">
        <v>62</v>
      </c>
      <c r="AA271" s="85" t="s">
        <v>66</v>
      </c>
      <c r="AB271" s="176">
        <f>(AA261)*0.67*X257*$R$10/100</f>
        <v>0</v>
      </c>
      <c r="AC271" s="176"/>
      <c r="AD271" s="141" t="s">
        <v>146</v>
      </c>
      <c r="AE271" s="65"/>
      <c r="AF271" s="320" t="s">
        <v>203</v>
      </c>
      <c r="AG271" s="476"/>
      <c r="AH271"/>
      <c r="AI271" s="77" t="s">
        <v>226</v>
      </c>
      <c r="AJ271" s="236">
        <f>AJ259*AJ260/24+AJ264+AJ267</f>
        <v>365</v>
      </c>
      <c r="AK271"/>
      <c r="AL271" s="97" t="s">
        <v>62</v>
      </c>
      <c r="AM271" s="85" t="s">
        <v>66</v>
      </c>
      <c r="AN271" s="176">
        <f>(AM261)*0.67*AJ257*$R$10/100</f>
        <v>0</v>
      </c>
      <c r="AO271" s="176"/>
      <c r="AP271" s="141" t="s">
        <v>146</v>
      </c>
      <c r="AQ271" s="65"/>
      <c r="AR271" s="474" t="s">
        <v>203</v>
      </c>
    </row>
    <row r="272" spans="21:44" x14ac:dyDescent="0.25">
      <c r="U272" s="275"/>
      <c r="Z272" s="177"/>
      <c r="AA272" s="85"/>
      <c r="AB272" s="85"/>
      <c r="AC272" s="85"/>
      <c r="AD272" s="141"/>
      <c r="AE272" s="65"/>
      <c r="AF272" s="320" t="s">
        <v>203</v>
      </c>
      <c r="AG272" s="476"/>
      <c r="AH272"/>
      <c r="AI272"/>
      <c r="AJ272"/>
      <c r="AK272"/>
      <c r="AL272" s="177"/>
      <c r="AM272" s="85"/>
      <c r="AN272" s="85"/>
      <c r="AO272" s="85"/>
      <c r="AP272" s="141"/>
      <c r="AQ272" s="65"/>
      <c r="AR272" s="474" t="s">
        <v>203</v>
      </c>
    </row>
    <row r="273" spans="21:44" x14ac:dyDescent="0.25">
      <c r="U273" s="275"/>
      <c r="X273" s="244"/>
      <c r="Z273" s="96" t="s">
        <v>188</v>
      </c>
      <c r="AA273" s="85"/>
      <c r="AB273" s="85" t="s">
        <v>180</v>
      </c>
      <c r="AC273" s="85" t="s">
        <v>182</v>
      </c>
      <c r="AD273" s="141"/>
      <c r="AE273" s="65"/>
      <c r="AF273" s="320" t="s">
        <v>203</v>
      </c>
      <c r="AG273" s="476"/>
      <c r="AH273"/>
      <c r="AI273"/>
      <c r="AJ273" s="244"/>
      <c r="AK273"/>
      <c r="AL273" s="96" t="s">
        <v>188</v>
      </c>
      <c r="AM273" s="85"/>
      <c r="AN273" s="85" t="s">
        <v>180</v>
      </c>
      <c r="AO273" s="85" t="s">
        <v>182</v>
      </c>
      <c r="AP273" s="141"/>
      <c r="AQ273" s="65"/>
      <c r="AR273" s="474" t="s">
        <v>203</v>
      </c>
    </row>
    <row r="274" spans="21:44" x14ac:dyDescent="0.25">
      <c r="U274" s="275"/>
      <c r="X274" s="245"/>
      <c r="Z274" s="96" t="s">
        <v>227</v>
      </c>
      <c r="AA274" s="85" t="s">
        <v>66</v>
      </c>
      <c r="AB274" s="176" t="e">
        <f>(AA263+AA264*X264/365)/365*0.67*X257*$R$6/100*$R$17</f>
        <v>#N/A</v>
      </c>
      <c r="AC274" s="176" t="e">
        <f>(AA263+AA264*X264/365)/365*0.67*X257*$R$6/100*(365-$R$17)</f>
        <v>#N/A</v>
      </c>
      <c r="AD274" s="141"/>
      <c r="AE274" s="65"/>
      <c r="AF274" s="320" t="s">
        <v>203</v>
      </c>
      <c r="AG274" s="476"/>
      <c r="AH274"/>
      <c r="AI274"/>
      <c r="AJ274" s="245"/>
      <c r="AK274"/>
      <c r="AL274" s="96" t="s">
        <v>227</v>
      </c>
      <c r="AM274" s="85" t="s">
        <v>66</v>
      </c>
      <c r="AN274" s="176" t="e">
        <f>(AM263+AM264*AJ264/365)/365*0.67*AJ257*$R$6/100*$R$17</f>
        <v>#N/A</v>
      </c>
      <c r="AO274" s="176" t="e">
        <f>(AM263+AM264*AJ264/365)/365*0.67*AJ257*$R$6/100*(365-$R$17)</f>
        <v>#N/A</v>
      </c>
      <c r="AP274" s="141"/>
      <c r="AQ274" s="65"/>
      <c r="AR274" s="474" t="s">
        <v>203</v>
      </c>
    </row>
    <row r="275" spans="21:44" x14ac:dyDescent="0.25">
      <c r="U275" s="275"/>
      <c r="X275" s="245"/>
      <c r="Z275" s="96" t="s">
        <v>228</v>
      </c>
      <c r="AA275" s="85" t="s">
        <v>66</v>
      </c>
      <c r="AB275" s="176" t="e">
        <f>(AA266+AA267*X267/365)/365*0.67*X257*$R$6/100*$R$17</f>
        <v>#N/A</v>
      </c>
      <c r="AC275" s="176" t="e">
        <f>(AA266+AA267*X267/365)/365*0.67*X257*$R$6/100*(365-$R$17)</f>
        <v>#N/A</v>
      </c>
      <c r="AD275" s="141" t="s">
        <v>202</v>
      </c>
      <c r="AE275" s="65"/>
      <c r="AF275" s="320" t="s">
        <v>203</v>
      </c>
      <c r="AG275" s="476"/>
      <c r="AH275"/>
      <c r="AI275"/>
      <c r="AJ275" s="245"/>
      <c r="AK275"/>
      <c r="AL275" s="96" t="s">
        <v>228</v>
      </c>
      <c r="AM275" s="85" t="s">
        <v>66</v>
      </c>
      <c r="AN275" s="176" t="e">
        <f>(AM266+AM267*AJ267/365)/365*0.67*AJ257*$R$6/100*$R$17</f>
        <v>#N/A</v>
      </c>
      <c r="AO275" s="176" t="e">
        <f>(AM266+AM267*AJ267/365)/365*0.67*AJ257*$R$6/100*(365-$R$17)</f>
        <v>#N/A</v>
      </c>
      <c r="AP275" s="141" t="s">
        <v>202</v>
      </c>
      <c r="AQ275" s="65"/>
      <c r="AR275" s="474" t="s">
        <v>203</v>
      </c>
    </row>
    <row r="276" spans="21:44" x14ac:dyDescent="0.25">
      <c r="U276" s="275"/>
      <c r="Z276" s="96" t="s">
        <v>230</v>
      </c>
      <c r="AA276" s="85" t="s">
        <v>66</v>
      </c>
      <c r="AB276" s="176" t="e">
        <f>(AA263+AA264*X264/365)/365*0.67*X257*$R$6/100*$R$17*(1+$R$7)</f>
        <v>#N/A</v>
      </c>
      <c r="AC276" s="176" t="e">
        <f>(AA263+AA264*X264/365)/365*0.67*X257*$R$6/100*(365-$R$17)*(1+$R$7)</f>
        <v>#N/A</v>
      </c>
      <c r="AD276" s="141"/>
      <c r="AE276" s="65"/>
      <c r="AF276" s="320" t="s">
        <v>203</v>
      </c>
      <c r="AG276" s="476"/>
      <c r="AH276"/>
      <c r="AI276"/>
      <c r="AJ276"/>
      <c r="AK276"/>
      <c r="AL276" s="96" t="s">
        <v>230</v>
      </c>
      <c r="AM276" s="85" t="s">
        <v>66</v>
      </c>
      <c r="AN276" s="176" t="e">
        <f>(AM263+AM264*AJ264/365)/365*0.67*AJ257*$R$6/100*$R$17*(1+$R$7)</f>
        <v>#N/A</v>
      </c>
      <c r="AO276" s="176" t="e">
        <f>(AM263+AM264*AJ264/365)/365*0.67*AJ257*$R$6/100*(365-$R$17)*(1+$R$7)</f>
        <v>#N/A</v>
      </c>
      <c r="AP276" s="141"/>
      <c r="AQ276" s="65"/>
      <c r="AR276" s="474" t="s">
        <v>203</v>
      </c>
    </row>
    <row r="277" spans="21:44" x14ac:dyDescent="0.25">
      <c r="U277" s="275"/>
      <c r="Z277" s="96" t="s">
        <v>229</v>
      </c>
      <c r="AA277" s="85" t="s">
        <v>66</v>
      </c>
      <c r="AB277" s="176" t="e">
        <f>(AA266+AA267*X267/365)/365*0.67*X257*$R$6/100*$R$17*(1+$R$7)</f>
        <v>#N/A</v>
      </c>
      <c r="AC277" s="176" t="e">
        <f>(AA266+AA267*X267/365)/365*0.67*X257*$R$6/100*(365-$R$17)*(1+$R$7)</f>
        <v>#N/A</v>
      </c>
      <c r="AD277" s="141" t="s">
        <v>202</v>
      </c>
      <c r="AE277" s="65"/>
      <c r="AF277" s="320" t="s">
        <v>203</v>
      </c>
      <c r="AG277" s="476"/>
      <c r="AH277"/>
      <c r="AI277"/>
      <c r="AJ277"/>
      <c r="AK277"/>
      <c r="AL277" s="96" t="s">
        <v>229</v>
      </c>
      <c r="AM277" s="85" t="s">
        <v>66</v>
      </c>
      <c r="AN277" s="176" t="e">
        <f>(AM266+AM267*AJ267/365)/365*0.67*AJ257*$R$6/100*$R$17*(1+$R$7)</f>
        <v>#N/A</v>
      </c>
      <c r="AO277" s="176" t="e">
        <f>(AM266+AM267*AJ267/365)/365*0.67*AJ257*$R$6/100*(365-$R$17)*(1+$R$7)</f>
        <v>#N/A</v>
      </c>
      <c r="AP277" s="141" t="s">
        <v>202</v>
      </c>
      <c r="AQ277" s="65"/>
      <c r="AR277" s="474" t="s">
        <v>203</v>
      </c>
    </row>
    <row r="278" spans="21:44" x14ac:dyDescent="0.25">
      <c r="U278" s="275"/>
      <c r="Z278" s="96" t="s">
        <v>246</v>
      </c>
      <c r="AA278" s="85" t="s">
        <v>66</v>
      </c>
      <c r="AB278" s="258" t="e">
        <f>(AA263+AA264*X264/365)/365*0.67*X257*$R$6/100*$R$17*(1+$R$8*X269)</f>
        <v>#N/A</v>
      </c>
      <c r="AC278" s="258" t="e">
        <f>(AA263+AA264*X264/365)/365*0.67*X257*$R$6/100*(365-$R$17)*(1+$R$8*X269)</f>
        <v>#N/A</v>
      </c>
      <c r="AD278" s="141" t="s">
        <v>202</v>
      </c>
      <c r="AE278" s="65"/>
      <c r="AF278" s="320" t="s">
        <v>203</v>
      </c>
      <c r="AG278" s="476"/>
      <c r="AH278"/>
      <c r="AI278"/>
      <c r="AJ278"/>
      <c r="AK278"/>
      <c r="AL278" s="96" t="s">
        <v>246</v>
      </c>
      <c r="AM278" s="85" t="s">
        <v>66</v>
      </c>
      <c r="AN278" s="258" t="e">
        <f>(AM263+AM264*AJ264/365)/365*0.67*AJ257*$R$6/100*$R$17*(1+$R$8*AJ269)</f>
        <v>#N/A</v>
      </c>
      <c r="AO278" s="258" t="e">
        <f>(AM263+AM264*AJ264/365)/365*0.67*AJ257*$R$6/100*(365-$R$17)*(1+$R$8*AJ269)</f>
        <v>#N/A</v>
      </c>
      <c r="AP278" s="141" t="s">
        <v>202</v>
      </c>
      <c r="AQ278" s="65"/>
      <c r="AR278" s="474" t="s">
        <v>203</v>
      </c>
    </row>
    <row r="279" spans="21:44" x14ac:dyDescent="0.25">
      <c r="U279" s="275"/>
      <c r="Z279" s="96" t="s">
        <v>247</v>
      </c>
      <c r="AA279" s="85" t="s">
        <v>66</v>
      </c>
      <c r="AB279" s="202"/>
      <c r="AC279" s="202"/>
      <c r="AE279" s="65"/>
      <c r="AF279" s="320" t="s">
        <v>203</v>
      </c>
      <c r="AG279" s="476"/>
      <c r="AH279"/>
      <c r="AI279"/>
      <c r="AJ279"/>
      <c r="AK279"/>
      <c r="AL279" s="96" t="s">
        <v>247</v>
      </c>
      <c r="AM279" s="85" t="s">
        <v>66</v>
      </c>
      <c r="AN279" s="202"/>
      <c r="AO279" s="202"/>
      <c r="AP279" s="202"/>
      <c r="AQ279" s="65"/>
      <c r="AR279" s="474" t="s">
        <v>203</v>
      </c>
    </row>
    <row r="280" spans="21:44" x14ac:dyDescent="0.25">
      <c r="U280" s="275"/>
      <c r="Z280" s="96" t="s">
        <v>67</v>
      </c>
      <c r="AA280" s="85" t="s">
        <v>66</v>
      </c>
      <c r="AB280" s="176">
        <f>(_xlfn.AGGREGATE(9,6,AB263,AB264,AB266,AB267)/365)*0.67*X257*$R$9/100*$R$17</f>
        <v>5.6979303746624383</v>
      </c>
      <c r="AC280" s="176">
        <f>(_xlfn.AGGREGATE(9,6,AB263,AB264,AB266,AB267)/365)*0.67*X257*$R$9/100*(365-$R$17)</f>
        <v>5.6979303746624383</v>
      </c>
      <c r="AD280" s="141" t="s">
        <v>184</v>
      </c>
      <c r="AE280" s="65"/>
      <c r="AF280" s="320" t="s">
        <v>203</v>
      </c>
      <c r="AG280" s="476"/>
      <c r="AH280"/>
      <c r="AI280"/>
      <c r="AJ280"/>
      <c r="AK280"/>
      <c r="AL280" s="96" t="s">
        <v>67</v>
      </c>
      <c r="AM280" s="85" t="s">
        <v>66</v>
      </c>
      <c r="AN280" s="176">
        <f>(_xlfn.AGGREGATE(9,6,AN263,AN264,AN266,AN267)/365)*0.67*AJ257*$R$9/100*$R$17</f>
        <v>4.5671173694543787</v>
      </c>
      <c r="AO280" s="176">
        <f>(_xlfn.AGGREGATE(9,6,AN263,AN264,AN266,AN267)/365)*0.67*AJ257*$R$9/100*(365-$R$17)</f>
        <v>4.5671173694543787</v>
      </c>
      <c r="AP280" s="141" t="s">
        <v>184</v>
      </c>
      <c r="AQ280" s="65"/>
      <c r="AR280" s="474" t="s">
        <v>203</v>
      </c>
    </row>
    <row r="281" spans="21:44" x14ac:dyDescent="0.25">
      <c r="U281" s="275"/>
      <c r="Z281" s="21"/>
      <c r="AA281" s="5"/>
      <c r="AB281" s="5"/>
      <c r="AC281" s="5"/>
      <c r="AD281" s="204"/>
      <c r="AE281" s="125" t="s">
        <v>71</v>
      </c>
      <c r="AF281" s="320" t="s">
        <v>203</v>
      </c>
      <c r="AG281" s="476"/>
      <c r="AH281"/>
      <c r="AI281"/>
      <c r="AJ281"/>
      <c r="AK281"/>
      <c r="AL281" s="21"/>
      <c r="AM281" s="5"/>
      <c r="AN281" s="5"/>
      <c r="AO281" s="5"/>
      <c r="AP281" s="204"/>
      <c r="AQ281" s="125" t="s">
        <v>71</v>
      </c>
      <c r="AR281" s="474" t="s">
        <v>203</v>
      </c>
    </row>
    <row r="282" spans="21:44" x14ac:dyDescent="0.25">
      <c r="U282" s="275"/>
      <c r="Z282" s="97" t="s">
        <v>68</v>
      </c>
      <c r="AA282" s="85" t="s">
        <v>66</v>
      </c>
      <c r="AB282" s="93">
        <f xml:space="preserve"> _xlfn.AGGREGATE(9, 6, AB280:AC280, AB274:AC275,AB271)</f>
        <v>11.395860749324877</v>
      </c>
      <c r="AC282" s="176"/>
      <c r="AD282" s="141" t="s">
        <v>118</v>
      </c>
      <c r="AE282" s="65"/>
      <c r="AF282" s="320" t="s">
        <v>203</v>
      </c>
      <c r="AG282" s="476"/>
      <c r="AH282"/>
      <c r="AI282"/>
      <c r="AJ282"/>
      <c r="AK282"/>
      <c r="AL282" s="97" t="s">
        <v>68</v>
      </c>
      <c r="AM282" s="85" t="s">
        <v>66</v>
      </c>
      <c r="AN282" s="93">
        <f xml:space="preserve"> _xlfn.AGGREGATE(9, 6, AN280:AO280, AN274:AO275,AN271)</f>
        <v>9.1342347389087575</v>
      </c>
      <c r="AO282" s="176"/>
      <c r="AP282" s="141" t="s">
        <v>118</v>
      </c>
      <c r="AQ282" s="65"/>
      <c r="AR282" s="474" t="s">
        <v>203</v>
      </c>
    </row>
    <row r="283" spans="21:44" x14ac:dyDescent="0.25">
      <c r="U283" s="275"/>
      <c r="Z283" s="97" t="s">
        <v>248</v>
      </c>
      <c r="AA283" s="85" t="s">
        <v>66</v>
      </c>
      <c r="AB283" s="259">
        <f xml:space="preserve"> _xlfn.AGGREGATE(9, 6, AB280:AC280, AB278:AC279,AB271,AB275:AC275)</f>
        <v>11.395860749324877</v>
      </c>
      <c r="AC283" s="85"/>
      <c r="AD283" s="141"/>
      <c r="AE283" s="65"/>
      <c r="AF283" s="320" t="s">
        <v>203</v>
      </c>
      <c r="AG283" s="476"/>
      <c r="AH283"/>
      <c r="AI283"/>
      <c r="AJ283"/>
      <c r="AK283"/>
      <c r="AL283" s="97" t="s">
        <v>248</v>
      </c>
      <c r="AM283" s="85" t="s">
        <v>66</v>
      </c>
      <c r="AN283" s="259">
        <f xml:space="preserve"> _xlfn.AGGREGATE(9, 6, AN280:AO280, AN278:AO279,AN271,AN275:AO275)</f>
        <v>9.1342347389087575</v>
      </c>
      <c r="AO283" s="85"/>
      <c r="AP283" s="141"/>
      <c r="AQ283" s="65"/>
      <c r="AR283" s="474" t="s">
        <v>203</v>
      </c>
    </row>
    <row r="284" spans="21:44" x14ac:dyDescent="0.25">
      <c r="U284" s="275"/>
      <c r="Z284" s="54"/>
      <c r="AA284" s="55" t="s">
        <v>238</v>
      </c>
      <c r="AB284" s="14" t="s">
        <v>381</v>
      </c>
      <c r="AC284" s="15" t="s">
        <v>382</v>
      </c>
      <c r="AD284" s="141"/>
      <c r="AE284" s="65"/>
      <c r="AF284" s="320" t="s">
        <v>203</v>
      </c>
      <c r="AG284" s="476"/>
      <c r="AH284"/>
      <c r="AI284"/>
      <c r="AJ284"/>
      <c r="AK284"/>
      <c r="AL284" s="54"/>
      <c r="AM284" s="55" t="s">
        <v>238</v>
      </c>
      <c r="AN284" s="14" t="s">
        <v>381</v>
      </c>
      <c r="AO284" s="15" t="s">
        <v>382</v>
      </c>
      <c r="AP284" s="141"/>
      <c r="AQ284" s="65"/>
      <c r="AR284" s="474" t="s">
        <v>203</v>
      </c>
    </row>
    <row r="285" spans="21:44" x14ac:dyDescent="0.25">
      <c r="U285" s="275"/>
      <c r="Z285" s="52" t="s">
        <v>421</v>
      </c>
      <c r="AA285" s="333">
        <f>AB271</f>
        <v>0</v>
      </c>
      <c r="AB285" s="333">
        <f xml:space="preserve"> _xlfn.AGGREGATE(9, 6, AB280, AB278:AB279,AB275)</f>
        <v>5.6979303746624383</v>
      </c>
      <c r="AC285" s="334">
        <f xml:space="preserve"> _xlfn.AGGREGATE(9, 6, AC280, AC278:AC279,AC275)</f>
        <v>5.6979303746624383</v>
      </c>
      <c r="AD285" s="141"/>
      <c r="AE285" s="65"/>
      <c r="AF285" s="320" t="s">
        <v>203</v>
      </c>
      <c r="AG285" s="476"/>
      <c r="AH285"/>
      <c r="AI285"/>
      <c r="AJ285"/>
      <c r="AK285"/>
      <c r="AL285" s="52" t="s">
        <v>421</v>
      </c>
      <c r="AM285" s="333">
        <f>AN271</f>
        <v>0</v>
      </c>
      <c r="AN285" s="333">
        <f xml:space="preserve"> _xlfn.AGGREGATE(9, 6, AN280, AN278:AN279,AN275)</f>
        <v>4.5671173694543787</v>
      </c>
      <c r="AO285" s="334">
        <f xml:space="preserve"> _xlfn.AGGREGATE(9, 6, AO280, AO278:AO279,AO275)</f>
        <v>4.5671173694543787</v>
      </c>
      <c r="AP285" s="141"/>
      <c r="AQ285" s="65"/>
      <c r="AR285" s="474" t="s">
        <v>203</v>
      </c>
    </row>
    <row r="286" spans="21:44" x14ac:dyDescent="0.25">
      <c r="U286" s="275"/>
      <c r="Z286" s="97"/>
      <c r="AA286" s="85"/>
      <c r="AB286" s="85"/>
      <c r="AC286" s="85"/>
      <c r="AD286" s="141"/>
      <c r="AE286" s="65"/>
      <c r="AF286" s="320" t="s">
        <v>203</v>
      </c>
      <c r="AG286" s="476"/>
      <c r="AH286"/>
      <c r="AI286"/>
      <c r="AJ286"/>
      <c r="AK286"/>
      <c r="AL286" s="97"/>
      <c r="AM286" s="85"/>
      <c r="AN286" s="85"/>
      <c r="AO286" s="85"/>
      <c r="AP286" s="141"/>
      <c r="AQ286" s="65"/>
      <c r="AR286" s="474" t="s">
        <v>203</v>
      </c>
    </row>
    <row r="287" spans="21:44" x14ac:dyDescent="0.25">
      <c r="U287" s="275"/>
      <c r="Z287" s="96" t="s">
        <v>181</v>
      </c>
      <c r="AA287" s="85"/>
      <c r="AB287" s="176"/>
      <c r="AC287" s="176"/>
      <c r="AD287" s="141"/>
      <c r="AE287" s="65"/>
      <c r="AF287" s="320" t="s">
        <v>203</v>
      </c>
      <c r="AG287" s="476"/>
      <c r="AH287"/>
      <c r="AI287"/>
      <c r="AJ287"/>
      <c r="AK287"/>
      <c r="AL287" s="96" t="s">
        <v>181</v>
      </c>
      <c r="AM287" s="85"/>
      <c r="AN287" s="176"/>
      <c r="AO287" s="176"/>
      <c r="AP287" s="141"/>
      <c r="AQ287" s="65"/>
      <c r="AR287" s="474" t="s">
        <v>203</v>
      </c>
    </row>
    <row r="288" spans="21:44" x14ac:dyDescent="0.25">
      <c r="U288" s="275"/>
      <c r="Z288" s="96" t="s">
        <v>185</v>
      </c>
      <c r="AA288" s="84" t="s">
        <v>13</v>
      </c>
      <c r="AB288" s="176">
        <f>AB282*$R$14</f>
        <v>317.94451490616404</v>
      </c>
      <c r="AC288" s="176"/>
      <c r="AD288" s="141" t="s">
        <v>117</v>
      </c>
      <c r="AE288" s="65"/>
      <c r="AF288" s="320" t="s">
        <v>203</v>
      </c>
      <c r="AG288" s="476"/>
      <c r="AH288"/>
      <c r="AI288"/>
      <c r="AJ288"/>
      <c r="AK288"/>
      <c r="AL288" s="96" t="s">
        <v>185</v>
      </c>
      <c r="AM288" s="84" t="s">
        <v>13</v>
      </c>
      <c r="AN288" s="176">
        <f>AN282*$R$14</f>
        <v>254.84514921555433</v>
      </c>
      <c r="AO288" s="176"/>
      <c r="AP288" s="141" t="s">
        <v>117</v>
      </c>
      <c r="AQ288" s="65"/>
      <c r="AR288" s="474" t="s">
        <v>203</v>
      </c>
    </row>
    <row r="289" spans="21:44" x14ac:dyDescent="0.25">
      <c r="U289" s="275"/>
      <c r="Z289" s="96" t="s">
        <v>249</v>
      </c>
      <c r="AA289" s="84" t="s">
        <v>13</v>
      </c>
      <c r="AB289" s="258">
        <f>AB283*$R$14</f>
        <v>317.94451490616404</v>
      </c>
      <c r="AC289" s="176"/>
      <c r="AD289" s="141" t="s">
        <v>117</v>
      </c>
      <c r="AE289" s="65"/>
      <c r="AF289" s="320" t="s">
        <v>203</v>
      </c>
      <c r="AG289" s="476"/>
      <c r="AH289"/>
      <c r="AI289"/>
      <c r="AJ289"/>
      <c r="AK289"/>
      <c r="AL289" s="96" t="s">
        <v>249</v>
      </c>
      <c r="AM289" s="84" t="s">
        <v>13</v>
      </c>
      <c r="AN289" s="258">
        <f>AN283*$R$14</f>
        <v>254.84514921555433</v>
      </c>
      <c r="AO289" s="176"/>
      <c r="AP289" s="141" t="s">
        <v>117</v>
      </c>
      <c r="AQ289" s="65"/>
      <c r="AR289" s="474" t="s">
        <v>203</v>
      </c>
    </row>
    <row r="290" spans="21:44" x14ac:dyDescent="0.25">
      <c r="U290" s="275"/>
      <c r="Z290" s="25"/>
      <c r="AA290" s="55" t="s">
        <v>238</v>
      </c>
      <c r="AB290" s="14" t="s">
        <v>381</v>
      </c>
      <c r="AC290" s="15" t="s">
        <v>382</v>
      </c>
      <c r="AE290" s="18"/>
      <c r="AF290" s="320" t="s">
        <v>203</v>
      </c>
      <c r="AG290" s="476"/>
      <c r="AH290"/>
      <c r="AI290"/>
      <c r="AJ290"/>
      <c r="AK290"/>
      <c r="AL290" s="25"/>
      <c r="AM290" s="55" t="s">
        <v>238</v>
      </c>
      <c r="AN290" s="14" t="s">
        <v>381</v>
      </c>
      <c r="AO290" s="15" t="s">
        <v>382</v>
      </c>
      <c r="AP290" s="202"/>
      <c r="AQ290" s="18"/>
      <c r="AR290" s="474" t="s">
        <v>203</v>
      </c>
    </row>
    <row r="291" spans="21:44" x14ac:dyDescent="0.25">
      <c r="U291" s="275"/>
      <c r="Z291" s="29" t="s">
        <v>422</v>
      </c>
      <c r="AA291" s="333">
        <f>AA285*$R$14</f>
        <v>0</v>
      </c>
      <c r="AB291" s="333">
        <f>AB285*$R$14</f>
        <v>158.97225745308202</v>
      </c>
      <c r="AC291" s="334">
        <f>AC285*$R$14</f>
        <v>158.97225745308202</v>
      </c>
      <c r="AD291" s="335" t="s">
        <v>117</v>
      </c>
      <c r="AE291" s="23"/>
      <c r="AF291" s="320" t="s">
        <v>203</v>
      </c>
      <c r="AG291" s="476"/>
      <c r="AH291"/>
      <c r="AI291"/>
      <c r="AJ291"/>
      <c r="AK291"/>
      <c r="AL291" s="29" t="s">
        <v>422</v>
      </c>
      <c r="AM291" s="333">
        <f>AM285*$R$14</f>
        <v>0</v>
      </c>
      <c r="AN291" s="333">
        <f>AN285*$R$14</f>
        <v>127.42257460777716</v>
      </c>
      <c r="AO291" s="334">
        <f>AO285*$R$14</f>
        <v>127.42257460777716</v>
      </c>
      <c r="AP291" s="335" t="s">
        <v>117</v>
      </c>
      <c r="AQ291" s="23"/>
      <c r="AR291" s="474" t="s">
        <v>203</v>
      </c>
    </row>
    <row r="292" spans="21:44" x14ac:dyDescent="0.25">
      <c r="Z292" s="5"/>
      <c r="AA292" s="5"/>
      <c r="AB292" s="5"/>
      <c r="AC292" s="5"/>
      <c r="AD292" s="204"/>
      <c r="AE292" s="5"/>
      <c r="AF292" s="320" t="s">
        <v>203</v>
      </c>
      <c r="AG292"/>
      <c r="AH292"/>
      <c r="AI292"/>
      <c r="AJ292"/>
      <c r="AK292"/>
      <c r="AL292" s="5"/>
      <c r="AM292" s="5"/>
      <c r="AN292" s="5"/>
      <c r="AO292" s="5"/>
      <c r="AP292" s="204"/>
      <c r="AQ292" s="5"/>
      <c r="AR292" s="474" t="s">
        <v>203</v>
      </c>
    </row>
    <row r="293" spans="21:44" x14ac:dyDescent="0.25">
      <c r="U293" s="275"/>
      <c r="V293" s="670" t="s">
        <v>610</v>
      </c>
      <c r="AF293" s="320" t="s">
        <v>203</v>
      </c>
      <c r="AG293" s="476"/>
      <c r="AH293" s="670" t="s">
        <v>464</v>
      </c>
      <c r="AI293"/>
      <c r="AJ293"/>
      <c r="AK293"/>
      <c r="AL293"/>
      <c r="AM293"/>
      <c r="AN293"/>
      <c r="AO293"/>
      <c r="AP293" s="202"/>
      <c r="AQ293"/>
      <c r="AR293" s="474" t="s">
        <v>203</v>
      </c>
    </row>
    <row r="294" spans="21:44" x14ac:dyDescent="0.25">
      <c r="U294" s="275"/>
      <c r="W294" s="670" t="s">
        <v>65</v>
      </c>
      <c r="X294">
        <f>INDEX($Q$2:$S$3, 2,MATCH(W294,$Q$2:$S$2,0))</f>
        <v>0.18</v>
      </c>
      <c r="Y294" t="s">
        <v>63</v>
      </c>
      <c r="Z294" s="103"/>
      <c r="AA294" s="191"/>
      <c r="AB294" s="191"/>
      <c r="AC294" s="191"/>
      <c r="AD294" s="237"/>
      <c r="AE294" s="238"/>
      <c r="AF294" s="320" t="s">
        <v>203</v>
      </c>
      <c r="AG294" s="476"/>
      <c r="AH294"/>
      <c r="AI294" s="670" t="s">
        <v>65</v>
      </c>
      <c r="AJ294">
        <f>INDEX($Q$2:$S$3, 2,MATCH(AI294,$Q$2:$S$2,0))</f>
        <v>0.18</v>
      </c>
      <c r="AK294" t="s">
        <v>63</v>
      </c>
      <c r="AL294" s="103"/>
      <c r="AM294" s="191"/>
      <c r="AN294" s="191"/>
      <c r="AO294" s="191"/>
      <c r="AP294" s="237"/>
      <c r="AQ294" s="238"/>
      <c r="AR294" s="474" t="s">
        <v>203</v>
      </c>
    </row>
    <row r="295" spans="21:44" x14ac:dyDescent="0.25">
      <c r="U295" s="275"/>
      <c r="W295" s="108" t="s">
        <v>93</v>
      </c>
      <c r="X295" s="109"/>
      <c r="Z295" s="239" t="s">
        <v>231</v>
      </c>
      <c r="AA295" s="194"/>
      <c r="AB295" s="194"/>
      <c r="AC295" s="194"/>
      <c r="AD295" s="240"/>
      <c r="AE295" s="241"/>
      <c r="AF295" s="320" t="s">
        <v>203</v>
      </c>
      <c r="AG295" s="476"/>
      <c r="AH295"/>
      <c r="AI295" s="108" t="s">
        <v>93</v>
      </c>
      <c r="AJ295" s="109"/>
      <c r="AK295"/>
      <c r="AL295" s="239" t="s">
        <v>231</v>
      </c>
      <c r="AM295" s="194"/>
      <c r="AN295" s="194"/>
      <c r="AO295" s="194"/>
      <c r="AP295" s="240"/>
      <c r="AQ295" s="241"/>
      <c r="AR295" s="474" t="s">
        <v>203</v>
      </c>
    </row>
    <row r="296" spans="21:44" x14ac:dyDescent="0.25">
      <c r="U296" s="275"/>
      <c r="W296" s="110" t="s">
        <v>81</v>
      </c>
      <c r="X296" s="665">
        <v>0</v>
      </c>
      <c r="Z296" s="126"/>
      <c r="AA296" s="192"/>
      <c r="AB296" s="192"/>
      <c r="AC296" s="192"/>
      <c r="AD296" s="242"/>
      <c r="AE296" s="243"/>
      <c r="AF296" s="320" t="s">
        <v>203</v>
      </c>
      <c r="AG296" s="476"/>
      <c r="AH296"/>
      <c r="AI296" s="110" t="s">
        <v>81</v>
      </c>
      <c r="AJ296" s="665">
        <v>0</v>
      </c>
      <c r="AK296"/>
      <c r="AL296" s="126"/>
      <c r="AM296" s="192"/>
      <c r="AN296" s="192"/>
      <c r="AO296" s="192"/>
      <c r="AP296" s="242"/>
      <c r="AQ296" s="243"/>
      <c r="AR296" s="474" t="s">
        <v>203</v>
      </c>
    </row>
    <row r="297" spans="21:44" x14ac:dyDescent="0.25">
      <c r="U297" s="275"/>
      <c r="W297" s="228" t="s">
        <v>82</v>
      </c>
      <c r="X297" s="666">
        <v>0</v>
      </c>
      <c r="Z297" s="127"/>
      <c r="AA297" s="54" t="s">
        <v>5</v>
      </c>
      <c r="AB297" s="187" t="s">
        <v>6</v>
      </c>
      <c r="AC297" s="128"/>
      <c r="AD297" s="203"/>
      <c r="AE297" s="124"/>
      <c r="AF297" s="320" t="s">
        <v>203</v>
      </c>
      <c r="AG297" s="476"/>
      <c r="AH297"/>
      <c r="AI297" s="228" t="s">
        <v>82</v>
      </c>
      <c r="AJ297" s="666">
        <v>0</v>
      </c>
      <c r="AK297"/>
      <c r="AL297" s="127"/>
      <c r="AM297" s="54" t="s">
        <v>5</v>
      </c>
      <c r="AN297" s="187" t="s">
        <v>6</v>
      </c>
      <c r="AO297" s="128"/>
      <c r="AP297" s="203"/>
      <c r="AQ297" s="124"/>
      <c r="AR297" s="474" t="s">
        <v>203</v>
      </c>
    </row>
    <row r="298" spans="21:44" x14ac:dyDescent="0.25">
      <c r="U298" s="275"/>
      <c r="Z298" s="96" t="s">
        <v>145</v>
      </c>
      <c r="AA298" s="183">
        <f>INDEX(Normtal!$Q$3:$AC$551,MATCH('CH4_Gylle_Stald&amp;Lager'!V293,Normtal!$Q$3:$Q$551,0),9)*(X296/365)*(X297/24)</f>
        <v>0</v>
      </c>
      <c r="AB298" s="78"/>
      <c r="AC298" s="44"/>
      <c r="AD298" s="204" t="s">
        <v>147</v>
      </c>
      <c r="AE298" s="65"/>
      <c r="AF298" s="320" t="s">
        <v>203</v>
      </c>
      <c r="AG298" s="476"/>
      <c r="AH298"/>
      <c r="AI298"/>
      <c r="AJ298"/>
      <c r="AK298"/>
      <c r="AL298" s="96" t="s">
        <v>145</v>
      </c>
      <c r="AM298" s="183">
        <f>INDEX(Normtal!$Q$3:$AC$551,MATCH('CH4_Gylle_Stald&amp;Lager'!AH293,Normtal!$Q$3:$Q$551,0),9)*(AJ296/365)*(AJ297/24)</f>
        <v>0</v>
      </c>
      <c r="AN298" s="78"/>
      <c r="AO298" s="44"/>
      <c r="AP298" s="204" t="s">
        <v>147</v>
      </c>
      <c r="AQ298" s="65"/>
      <c r="AR298" s="474" t="s">
        <v>203</v>
      </c>
    </row>
    <row r="299" spans="21:44" x14ac:dyDescent="0.25">
      <c r="U299" s="275"/>
      <c r="V299" s="45"/>
      <c r="W299" s="229" t="s">
        <v>221</v>
      </c>
      <c r="X299" s="230"/>
      <c r="Z299" s="96"/>
      <c r="AA299" s="667"/>
      <c r="AB299" s="220" t="s">
        <v>210</v>
      </c>
      <c r="AC299" s="5"/>
      <c r="AD299" s="226"/>
      <c r="AE299" s="65"/>
      <c r="AF299" s="320" t="s">
        <v>203</v>
      </c>
      <c r="AG299" s="476"/>
      <c r="AH299" s="45"/>
      <c r="AI299" s="229" t="s">
        <v>221</v>
      </c>
      <c r="AJ299" s="230"/>
      <c r="AK299"/>
      <c r="AL299" s="96"/>
      <c r="AM299" s="667"/>
      <c r="AN299" s="220" t="s">
        <v>210</v>
      </c>
      <c r="AO299" s="5"/>
      <c r="AP299" s="226"/>
      <c r="AQ299" s="65"/>
      <c r="AR299" s="474" t="s">
        <v>203</v>
      </c>
    </row>
    <row r="300" spans="21:44" x14ac:dyDescent="0.25">
      <c r="U300" s="275"/>
      <c r="V300" s="5"/>
      <c r="W300" s="231" t="s">
        <v>224</v>
      </c>
      <c r="X300" s="669">
        <v>0</v>
      </c>
      <c r="Z300" s="97" t="s">
        <v>115</v>
      </c>
      <c r="AA300" s="183" t="e">
        <f>INDEX(Normtal!$Q$3:$AC$551,MATCH('CH4_Gylle_Stald&amp;Lager'!AA299,Normtal!$AA$3:$AA$551,0),9)*$X301/365</f>
        <v>#N/A</v>
      </c>
      <c r="AB300" s="183" t="e">
        <f>INDEX(Normtal!$Q$3:$AC$551,MATCH('CH4_Gylle_Stald&amp;Lager'!AB299,Normtal!$AA$3:$AA$551,0),9)*$X301/365</f>
        <v>#N/A</v>
      </c>
      <c r="AC300" s="44"/>
      <c r="AD300" s="204"/>
      <c r="AE300" s="65"/>
      <c r="AF300" s="320" t="s">
        <v>203</v>
      </c>
      <c r="AG300" s="476"/>
      <c r="AH300" s="5"/>
      <c r="AI300" s="231" t="s">
        <v>224</v>
      </c>
      <c r="AJ300" s="669">
        <v>0</v>
      </c>
      <c r="AK300"/>
      <c r="AL300" s="97" t="s">
        <v>115</v>
      </c>
      <c r="AM300" s="183" t="e">
        <f>INDEX(Normtal!$Q$3:$AC$551,MATCH('CH4_Gylle_Stald&amp;Lager'!AM299,Normtal!$AA$3:$AA$551,0),9)*$AJ301/365</f>
        <v>#N/A</v>
      </c>
      <c r="AN300" s="183" t="e">
        <f>INDEX(Normtal!$Q$3:$AC$551,MATCH('CH4_Gylle_Stald&amp;Lager'!AN299,Normtal!$AA$3:$AA$551,0),9)*$AJ301/365</f>
        <v>#N/A</v>
      </c>
      <c r="AO300" s="44"/>
      <c r="AP300" s="204"/>
      <c r="AQ300" s="65"/>
      <c r="AR300" s="474" t="s">
        <v>203</v>
      </c>
    </row>
    <row r="301" spans="21:44" x14ac:dyDescent="0.25">
      <c r="U301" s="275"/>
      <c r="W301" s="233" t="s">
        <v>223</v>
      </c>
      <c r="X301" s="583">
        <f>(365-X296*X297/24)*X300</f>
        <v>0</v>
      </c>
      <c r="Z301" s="97" t="s">
        <v>116</v>
      </c>
      <c r="AA301" s="183" t="e">
        <f>INDEX(Normtal!$Q$3:$AC$551,MATCH('CH4_Gylle_Stald&amp;Lager'!AA299,Normtal!$AA$3:$AA$551,0),7)*$X301/365</f>
        <v>#N/A</v>
      </c>
      <c r="AB301" s="183" t="e">
        <f>INDEX(Normtal!$Q$3:$AC$551,MATCH('CH4_Gylle_Stald&amp;Lager'!AB299,Normtal!$AA$3:$AA$551,0),7)*$X301/365</f>
        <v>#N/A</v>
      </c>
      <c r="AC301" s="44"/>
      <c r="AD301" s="204"/>
      <c r="AE301" s="65"/>
      <c r="AF301" s="320" t="s">
        <v>203</v>
      </c>
      <c r="AG301" s="476"/>
      <c r="AH301"/>
      <c r="AI301" s="233" t="s">
        <v>223</v>
      </c>
      <c r="AJ301" s="583">
        <f>(365-AJ296*AJ297/24)*AJ300</f>
        <v>0</v>
      </c>
      <c r="AK301"/>
      <c r="AL301" s="97" t="s">
        <v>116</v>
      </c>
      <c r="AM301" s="183" t="e">
        <f>INDEX(Normtal!$Q$3:$AC$551,MATCH('CH4_Gylle_Stald&amp;Lager'!AM299,Normtal!$AA$3:$AA$551,0),7)*$AJ301/365</f>
        <v>#N/A</v>
      </c>
      <c r="AN301" s="183" t="e">
        <f>INDEX(Normtal!$Q$3:$AC$551,MATCH('CH4_Gylle_Stald&amp;Lager'!AN299,Normtal!$AA$3:$AA$551,0),7)*$AJ301/365</f>
        <v>#N/A</v>
      </c>
      <c r="AO301" s="44"/>
      <c r="AP301" s="204"/>
      <c r="AQ301" s="65"/>
      <c r="AR301" s="474" t="s">
        <v>203</v>
      </c>
    </row>
    <row r="302" spans="21:44" x14ac:dyDescent="0.25">
      <c r="U302" s="275"/>
      <c r="W302" s="229" t="s">
        <v>337</v>
      </c>
      <c r="X302" s="230"/>
      <c r="Z302" s="225"/>
      <c r="AA302" s="667"/>
      <c r="AB302" s="667" t="s">
        <v>345</v>
      </c>
      <c r="AC302" s="5"/>
      <c r="AD302" s="227"/>
      <c r="AE302" s="65"/>
      <c r="AF302" s="320" t="s">
        <v>203</v>
      </c>
      <c r="AG302" s="476"/>
      <c r="AH302"/>
      <c r="AI302" s="229" t="s">
        <v>337</v>
      </c>
      <c r="AJ302" s="230"/>
      <c r="AK302"/>
      <c r="AL302" s="225"/>
      <c r="AM302" s="667"/>
      <c r="AN302" s="667" t="s">
        <v>611</v>
      </c>
      <c r="AO302" s="5"/>
      <c r="AP302" s="227"/>
      <c r="AQ302" s="65"/>
      <c r="AR302" s="474" t="s">
        <v>203</v>
      </c>
    </row>
    <row r="303" spans="21:44" x14ac:dyDescent="0.25">
      <c r="U303" s="275"/>
      <c r="W303" s="231" t="s">
        <v>224</v>
      </c>
      <c r="X303" s="232">
        <f>1-X300</f>
        <v>1</v>
      </c>
      <c r="Z303" s="97" t="s">
        <v>115</v>
      </c>
      <c r="AA303" s="183" t="e">
        <f>INDEX(Normtal!$Q$3:$AC$551,MATCH('CH4_Gylle_Stald&amp;Lager'!AA302,Normtal!$AA$3:$AA$551,0),9)*$X304/365</f>
        <v>#N/A</v>
      </c>
      <c r="AB303" s="183">
        <f>INDEX(Normtal!$Q$3:$AC$551,MATCH('CH4_Gylle_Stald&amp;Lager'!AB302,Normtal!$AA$3:$AA$551,0),9)*$X304/365</f>
        <v>87.68</v>
      </c>
      <c r="AC303" s="44"/>
      <c r="AD303" s="204" t="s">
        <v>148</v>
      </c>
      <c r="AE303" s="65"/>
      <c r="AF303" s="320" t="s">
        <v>203</v>
      </c>
      <c r="AG303" s="476"/>
      <c r="AH303"/>
      <c r="AI303" s="231" t="s">
        <v>224</v>
      </c>
      <c r="AJ303" s="232">
        <f>1-AJ300</f>
        <v>1</v>
      </c>
      <c r="AK303"/>
      <c r="AL303" s="97" t="s">
        <v>115</v>
      </c>
      <c r="AM303" s="183" t="e">
        <f>INDEX(Normtal!$Q$3:$AC$551,MATCH('CH4_Gylle_Stald&amp;Lager'!AM302,Normtal!$AA$3:$AA$551,0),9)*$AJ304/365</f>
        <v>#N/A</v>
      </c>
      <c r="AN303" s="183">
        <f>INDEX(Normtal!$Q$3:$AC$551,MATCH('CH4_Gylle_Stald&amp;Lager'!AN302,Normtal!$AA$3:$AA$551,0),9)*$AJ304/365</f>
        <v>62.080000000000013</v>
      </c>
      <c r="AO303" s="44"/>
      <c r="AP303" s="204" t="s">
        <v>148</v>
      </c>
      <c r="AQ303" s="65"/>
      <c r="AR303" s="474" t="s">
        <v>203</v>
      </c>
    </row>
    <row r="304" spans="21:44" x14ac:dyDescent="0.25">
      <c r="U304" s="275"/>
      <c r="V304" s="5"/>
      <c r="W304" s="233" t="s">
        <v>81</v>
      </c>
      <c r="X304" s="234">
        <f>(365-X296*X297/24)*X303</f>
        <v>365</v>
      </c>
      <c r="Z304" s="97" t="s">
        <v>116</v>
      </c>
      <c r="AA304" s="222" t="e">
        <f>INDEX(Normtal!$Q$3:$AC$551,MATCH('CH4_Gylle_Stald&amp;Lager'!AA302,Normtal!$AA$3:$AA$551,0),7)*$X304/365</f>
        <v>#N/A</v>
      </c>
      <c r="AB304" s="222">
        <f>INDEX(Normtal!$Q$3:$AC$551,MATCH('CH4_Gylle_Stald&amp;Lager'!AB302,Normtal!$AA$3:$AA$551,0),7)*$X304/365</f>
        <v>442.10624999999999</v>
      </c>
      <c r="AC304" s="44"/>
      <c r="AD304" s="141"/>
      <c r="AE304" s="65"/>
      <c r="AF304" s="320" t="s">
        <v>203</v>
      </c>
      <c r="AG304" s="476"/>
      <c r="AH304" s="5"/>
      <c r="AI304" s="233" t="s">
        <v>81</v>
      </c>
      <c r="AJ304" s="234">
        <f>(365-AJ296*AJ297/24)*AJ303</f>
        <v>365</v>
      </c>
      <c r="AK304"/>
      <c r="AL304" s="97" t="s">
        <v>116</v>
      </c>
      <c r="AM304" s="222" t="e">
        <f>INDEX(Normtal!$Q$3:$AC$551,MATCH('CH4_Gylle_Stald&amp;Lager'!AM302,Normtal!$AA$3:$AA$551,0),7)*$AJ304/365</f>
        <v>#N/A</v>
      </c>
      <c r="AN304" s="222">
        <f>INDEX(Normtal!$Q$3:$AC$551,MATCH('CH4_Gylle_Stald&amp;Lager'!AN302,Normtal!$AA$3:$AA$551,0),7)*$AJ304/365</f>
        <v>353.685</v>
      </c>
      <c r="AO304" s="44"/>
      <c r="AP304" s="141"/>
      <c r="AQ304" s="65"/>
      <c r="AR304" s="474" t="s">
        <v>203</v>
      </c>
    </row>
    <row r="305" spans="21:44" x14ac:dyDescent="0.25">
      <c r="U305" s="275"/>
      <c r="Z305" s="235" t="s">
        <v>225</v>
      </c>
      <c r="AA305" s="90">
        <f>_xlfn.AGGREGATE(9,6,AA298:AB298,AA300:AB300,AA303:AB303)</f>
        <v>87.68</v>
      </c>
      <c r="AB305" s="267">
        <f>INDEX(Normtal!$Q$3:$AC$551,MATCH('CH4_Gylle_Stald&amp;Lager'!V293,Normtal!$Q$3:$Q$551,0),9)</f>
        <v>87.68</v>
      </c>
      <c r="AC305" s="44"/>
      <c r="AD305" s="141"/>
      <c r="AE305" s="65"/>
      <c r="AF305" s="320" t="s">
        <v>203</v>
      </c>
      <c r="AG305" s="476"/>
      <c r="AH305"/>
      <c r="AI305"/>
      <c r="AJ305"/>
      <c r="AK305"/>
      <c r="AL305" s="235" t="s">
        <v>225</v>
      </c>
      <c r="AM305" s="90">
        <f>_xlfn.AGGREGATE(9,6,AM298:AN298,AM300:AN300,AM303:AN303)</f>
        <v>62.080000000000013</v>
      </c>
      <c r="AN305" s="267">
        <f>INDEX(Normtal!$Q$3:$AC$551,MATCH('CH4_Gylle_Stald&amp;Lager'!AH293,Normtal!$Q$3:$Q$551,0),9)</f>
        <v>62.080000000000013</v>
      </c>
      <c r="AO305" s="44"/>
      <c r="AP305" s="141"/>
      <c r="AQ305" s="65"/>
      <c r="AR305" s="474" t="s">
        <v>203</v>
      </c>
    </row>
    <row r="306" spans="21:44" x14ac:dyDescent="0.25">
      <c r="U306" s="275"/>
      <c r="W306" s="257" t="s">
        <v>245</v>
      </c>
      <c r="X306" s="668">
        <v>0</v>
      </c>
      <c r="Z306" s="96"/>
      <c r="AA306" s="85"/>
      <c r="AB306" s="93"/>
      <c r="AC306" s="93"/>
      <c r="AD306" s="141"/>
      <c r="AE306" s="65"/>
      <c r="AF306" s="320" t="s">
        <v>203</v>
      </c>
      <c r="AG306" s="476"/>
      <c r="AH306"/>
      <c r="AI306" s="257" t="s">
        <v>245</v>
      </c>
      <c r="AJ306" s="668">
        <v>0</v>
      </c>
      <c r="AK306"/>
      <c r="AL306" s="96"/>
      <c r="AM306" s="85"/>
      <c r="AN306" s="93"/>
      <c r="AO306" s="93"/>
      <c r="AP306" s="141"/>
      <c r="AQ306" s="65"/>
      <c r="AR306" s="474" t="s">
        <v>203</v>
      </c>
    </row>
    <row r="307" spans="21:44" x14ac:dyDescent="0.25">
      <c r="U307" s="275"/>
      <c r="Z307" s="96" t="s">
        <v>84</v>
      </c>
      <c r="AA307" s="85"/>
      <c r="AB307" s="85"/>
      <c r="AC307" s="85"/>
      <c r="AD307" s="141"/>
      <c r="AE307" s="65"/>
      <c r="AF307" s="320" t="s">
        <v>203</v>
      </c>
      <c r="AG307" s="476"/>
      <c r="AH307"/>
      <c r="AI307"/>
      <c r="AJ307"/>
      <c r="AK307"/>
      <c r="AL307" s="96" t="s">
        <v>84</v>
      </c>
      <c r="AM307" s="85"/>
      <c r="AN307" s="85"/>
      <c r="AO307" s="85"/>
      <c r="AP307" s="141"/>
      <c r="AQ307" s="65"/>
      <c r="AR307" s="474" t="s">
        <v>203</v>
      </c>
    </row>
    <row r="308" spans="21:44" x14ac:dyDescent="0.25">
      <c r="U308" s="275"/>
      <c r="W308" s="77" t="s">
        <v>226</v>
      </c>
      <c r="X308" s="236">
        <f>X296*X297/24+X301+X304</f>
        <v>365</v>
      </c>
      <c r="Z308" s="97" t="s">
        <v>62</v>
      </c>
      <c r="AA308" s="85" t="s">
        <v>66</v>
      </c>
      <c r="AB308" s="176">
        <f>(AA298)*0.67*X294*$R$10/100</f>
        <v>0</v>
      </c>
      <c r="AC308" s="176"/>
      <c r="AD308" s="141" t="s">
        <v>146</v>
      </c>
      <c r="AE308" s="65"/>
      <c r="AF308" s="320" t="s">
        <v>203</v>
      </c>
      <c r="AG308" s="476"/>
      <c r="AH308"/>
      <c r="AI308" s="77" t="s">
        <v>226</v>
      </c>
      <c r="AJ308" s="236">
        <f>AJ296*AJ297/24+AJ301+AJ304</f>
        <v>365</v>
      </c>
      <c r="AK308"/>
      <c r="AL308" s="97" t="s">
        <v>62</v>
      </c>
      <c r="AM308" s="85" t="s">
        <v>66</v>
      </c>
      <c r="AN308" s="176">
        <f>(AM298)*0.67*AJ294*$R$10/100</f>
        <v>0</v>
      </c>
      <c r="AO308" s="176"/>
      <c r="AP308" s="141" t="s">
        <v>146</v>
      </c>
      <c r="AQ308" s="65"/>
      <c r="AR308" s="474" t="s">
        <v>203</v>
      </c>
    </row>
    <row r="309" spans="21:44" x14ac:dyDescent="0.25">
      <c r="U309" s="275"/>
      <c r="Z309" s="177"/>
      <c r="AA309" s="85"/>
      <c r="AB309" s="85"/>
      <c r="AC309" s="85"/>
      <c r="AD309" s="141"/>
      <c r="AE309" s="65"/>
      <c r="AF309" s="320" t="s">
        <v>203</v>
      </c>
      <c r="AG309" s="476"/>
      <c r="AH309"/>
      <c r="AI309"/>
      <c r="AJ309"/>
      <c r="AK309"/>
      <c r="AL309" s="177"/>
      <c r="AM309" s="85"/>
      <c r="AN309" s="85"/>
      <c r="AO309" s="85"/>
      <c r="AP309" s="141"/>
      <c r="AQ309" s="65"/>
      <c r="AR309" s="474" t="s">
        <v>203</v>
      </c>
    </row>
    <row r="310" spans="21:44" x14ac:dyDescent="0.25">
      <c r="U310" s="275"/>
      <c r="X310" s="244"/>
      <c r="Z310" s="96" t="s">
        <v>188</v>
      </c>
      <c r="AA310" s="85"/>
      <c r="AB310" s="85" t="s">
        <v>180</v>
      </c>
      <c r="AC310" s="85" t="s">
        <v>182</v>
      </c>
      <c r="AD310" s="141"/>
      <c r="AE310" s="65"/>
      <c r="AF310" s="320" t="s">
        <v>203</v>
      </c>
      <c r="AG310" s="476"/>
      <c r="AH310"/>
      <c r="AI310"/>
      <c r="AJ310" s="244"/>
      <c r="AK310"/>
      <c r="AL310" s="96" t="s">
        <v>188</v>
      </c>
      <c r="AM310" s="85"/>
      <c r="AN310" s="85" t="s">
        <v>180</v>
      </c>
      <c r="AO310" s="85" t="s">
        <v>182</v>
      </c>
      <c r="AP310" s="141"/>
      <c r="AQ310" s="65"/>
      <c r="AR310" s="474" t="s">
        <v>203</v>
      </c>
    </row>
    <row r="311" spans="21:44" x14ac:dyDescent="0.25">
      <c r="U311" s="275"/>
      <c r="X311" s="245"/>
      <c r="Z311" s="96" t="s">
        <v>227</v>
      </c>
      <c r="AA311" s="85" t="s">
        <v>66</v>
      </c>
      <c r="AB311" s="176" t="e">
        <f>(AA300+AA301*X301/365)/365*0.67*X294*$R$6/100*$R$17</f>
        <v>#N/A</v>
      </c>
      <c r="AC311" s="176" t="e">
        <f>(AA300+AA301*X301/365)/365*0.67*X294*$R$6/100*(365-$R$17)</f>
        <v>#N/A</v>
      </c>
      <c r="AD311" s="141"/>
      <c r="AE311" s="65"/>
      <c r="AF311" s="320" t="s">
        <v>203</v>
      </c>
      <c r="AG311" s="476"/>
      <c r="AH311"/>
      <c r="AI311"/>
      <c r="AJ311" s="245"/>
      <c r="AK311"/>
      <c r="AL311" s="96" t="s">
        <v>227</v>
      </c>
      <c r="AM311" s="85" t="s">
        <v>66</v>
      </c>
      <c r="AN311" s="176" t="e">
        <f>(AM300+AM301*AJ301/365)/365*0.67*AJ294*$R$6/100*$R$17</f>
        <v>#N/A</v>
      </c>
      <c r="AO311" s="176" t="e">
        <f>(AM300+AM301*AJ301/365)/365*0.67*AJ294*$R$6/100*(365-$R$17)</f>
        <v>#N/A</v>
      </c>
      <c r="AP311" s="141"/>
      <c r="AQ311" s="65"/>
      <c r="AR311" s="474" t="s">
        <v>203</v>
      </c>
    </row>
    <row r="312" spans="21:44" x14ac:dyDescent="0.25">
      <c r="U312" s="275"/>
      <c r="X312" s="245"/>
      <c r="Z312" s="96" t="s">
        <v>228</v>
      </c>
      <c r="AA312" s="85" t="s">
        <v>66</v>
      </c>
      <c r="AB312" s="176" t="e">
        <f>(AA303+AA304*X304/365)/365*0.67*X294*$R$6/100*$R$17</f>
        <v>#N/A</v>
      </c>
      <c r="AC312" s="176" t="e">
        <f>(AA303+AA304*X304/365)/365*0.67*X294*$R$6/100*(365-$R$17)</f>
        <v>#N/A</v>
      </c>
      <c r="AD312" s="141" t="s">
        <v>202</v>
      </c>
      <c r="AE312" s="65"/>
      <c r="AF312" s="320" t="s">
        <v>203</v>
      </c>
      <c r="AG312" s="476"/>
      <c r="AH312"/>
      <c r="AI312"/>
      <c r="AJ312" s="245"/>
      <c r="AK312"/>
      <c r="AL312" s="96" t="s">
        <v>228</v>
      </c>
      <c r="AM312" s="85" t="s">
        <v>66</v>
      </c>
      <c r="AN312" s="176" t="e">
        <f>(AM303+AM304*AJ304/365)/365*0.67*AJ294*$R$6/100*$R$17</f>
        <v>#N/A</v>
      </c>
      <c r="AO312" s="176" t="e">
        <f>(AM303+AM304*AJ304/365)/365*0.67*AJ294*$R$6/100*(365-$R$17)</f>
        <v>#N/A</v>
      </c>
      <c r="AP312" s="141" t="s">
        <v>202</v>
      </c>
      <c r="AQ312" s="65"/>
      <c r="AR312" s="474" t="s">
        <v>203</v>
      </c>
    </row>
    <row r="313" spans="21:44" x14ac:dyDescent="0.25">
      <c r="U313" s="275"/>
      <c r="Z313" s="96" t="s">
        <v>230</v>
      </c>
      <c r="AA313" s="85" t="s">
        <v>66</v>
      </c>
      <c r="AB313" s="176" t="e">
        <f>(AA300+AA301*X301/365)/365*0.67*X294*$R$6/100*$R$17*(1+$R$7)</f>
        <v>#N/A</v>
      </c>
      <c r="AC313" s="176" t="e">
        <f>(AA300+AA301*X301/365)/365*0.67*X294*$R$6/100*(365-$R$17)*(1+$R$7)</f>
        <v>#N/A</v>
      </c>
      <c r="AD313" s="141"/>
      <c r="AE313" s="65"/>
      <c r="AF313" s="320" t="s">
        <v>203</v>
      </c>
      <c r="AG313" s="476"/>
      <c r="AH313"/>
      <c r="AI313"/>
      <c r="AJ313"/>
      <c r="AK313"/>
      <c r="AL313" s="96" t="s">
        <v>230</v>
      </c>
      <c r="AM313" s="85" t="s">
        <v>66</v>
      </c>
      <c r="AN313" s="176" t="e">
        <f>(AM300+AM301*AJ301/365)/365*0.67*AJ294*$R$6/100*$R$17*(1+$R$7)</f>
        <v>#N/A</v>
      </c>
      <c r="AO313" s="176" t="e">
        <f>(AM300+AM301*AJ301/365)/365*0.67*AJ294*$R$6/100*(365-$R$17)*(1+$R$7)</f>
        <v>#N/A</v>
      </c>
      <c r="AP313" s="141"/>
      <c r="AQ313" s="65"/>
      <c r="AR313" s="474" t="s">
        <v>203</v>
      </c>
    </row>
    <row r="314" spans="21:44" x14ac:dyDescent="0.25">
      <c r="U314" s="275"/>
      <c r="Z314" s="96" t="s">
        <v>229</v>
      </c>
      <c r="AA314" s="85" t="s">
        <v>66</v>
      </c>
      <c r="AB314" s="176" t="e">
        <f>(AA303+AA304*X304/365)/365*0.67*X294*$R$6/100*$R$17*(1+$R$7)</f>
        <v>#N/A</v>
      </c>
      <c r="AC314" s="176" t="e">
        <f>(AA303+AA304*X304/365)/365*0.67*X294*$R$6/100*(365-$R$17)*(1+$R$7)</f>
        <v>#N/A</v>
      </c>
      <c r="AD314" s="141" t="s">
        <v>202</v>
      </c>
      <c r="AE314" s="65"/>
      <c r="AF314" s="320" t="s">
        <v>203</v>
      </c>
      <c r="AG314" s="476"/>
      <c r="AH314"/>
      <c r="AI314"/>
      <c r="AJ314"/>
      <c r="AK314"/>
      <c r="AL314" s="96" t="s">
        <v>229</v>
      </c>
      <c r="AM314" s="85" t="s">
        <v>66</v>
      </c>
      <c r="AN314" s="176" t="e">
        <f>(AM303+AM304*AJ304/365)/365*0.67*AJ294*$R$6/100*$R$17*(1+$R$7)</f>
        <v>#N/A</v>
      </c>
      <c r="AO314" s="176" t="e">
        <f>(AM303+AM304*AJ304/365)/365*0.67*AJ294*$R$6/100*(365-$R$17)*(1+$R$7)</f>
        <v>#N/A</v>
      </c>
      <c r="AP314" s="141" t="s">
        <v>202</v>
      </c>
      <c r="AQ314" s="65"/>
      <c r="AR314" s="474" t="s">
        <v>203</v>
      </c>
    </row>
    <row r="315" spans="21:44" x14ac:dyDescent="0.25">
      <c r="U315" s="275"/>
      <c r="Z315" s="96" t="s">
        <v>246</v>
      </c>
      <c r="AA315" s="85" t="s">
        <v>66</v>
      </c>
      <c r="AB315" s="258" t="e">
        <f>(AA300+AA301*X301/365)/365*0.67*X294*$R$6/100*$R$17*(1+$R$8*X306)</f>
        <v>#N/A</v>
      </c>
      <c r="AC315" s="258" t="e">
        <f>(AA300+AA301*X301/365)/365*0.67*X294*$R$6/100*(365-$R$17)*(1+$R$8*X306)</f>
        <v>#N/A</v>
      </c>
      <c r="AD315" s="141" t="s">
        <v>202</v>
      </c>
      <c r="AE315" s="65"/>
      <c r="AF315" s="320" t="s">
        <v>203</v>
      </c>
      <c r="AG315" s="476"/>
      <c r="AH315"/>
      <c r="AI315"/>
      <c r="AJ315"/>
      <c r="AK315"/>
      <c r="AL315" s="96" t="s">
        <v>246</v>
      </c>
      <c r="AM315" s="85" t="s">
        <v>66</v>
      </c>
      <c r="AN315" s="258" t="e">
        <f>(AM300+AM301*AJ301/365)/365*0.67*AJ294*$R$6/100*$R$17*(1+$R$8*AJ306)</f>
        <v>#N/A</v>
      </c>
      <c r="AO315" s="258" t="e">
        <f>(AM300+AM301*AJ301/365)/365*0.67*AJ294*$R$6/100*(365-$R$17)*(1+$R$8*AJ306)</f>
        <v>#N/A</v>
      </c>
      <c r="AP315" s="141" t="s">
        <v>202</v>
      </c>
      <c r="AQ315" s="65"/>
      <c r="AR315" s="474" t="s">
        <v>203</v>
      </c>
    </row>
    <row r="316" spans="21:44" x14ac:dyDescent="0.25">
      <c r="U316" s="275"/>
      <c r="Z316" s="96" t="s">
        <v>247</v>
      </c>
      <c r="AA316" s="85" t="s">
        <v>66</v>
      </c>
      <c r="AB316" s="202"/>
      <c r="AC316" s="202"/>
      <c r="AE316" s="65"/>
      <c r="AF316" s="320" t="s">
        <v>203</v>
      </c>
      <c r="AG316" s="476"/>
      <c r="AH316"/>
      <c r="AI316"/>
      <c r="AJ316"/>
      <c r="AK316"/>
      <c r="AL316" s="96" t="s">
        <v>247</v>
      </c>
      <c r="AM316" s="85" t="s">
        <v>66</v>
      </c>
      <c r="AN316" s="202"/>
      <c r="AO316" s="202"/>
      <c r="AP316" s="202"/>
      <c r="AQ316" s="65"/>
      <c r="AR316" s="474" t="s">
        <v>203</v>
      </c>
    </row>
    <row r="317" spans="21:44" x14ac:dyDescent="0.25">
      <c r="U317" s="275"/>
      <c r="Z317" s="96" t="s">
        <v>67</v>
      </c>
      <c r="AA317" s="85" t="s">
        <v>66</v>
      </c>
      <c r="AB317" s="176">
        <f>(_xlfn.AGGREGATE(9,6,AB300,AB301,AB303,AB304)/365)*0.67*X294*$R$9/100*$R$17</f>
        <v>6.708683283750001</v>
      </c>
      <c r="AC317" s="176">
        <f>(_xlfn.AGGREGATE(9,6,AB300,AB301,AB303,AB304)/365)*0.67*X294*$R$9/100*(365-$R$17)</f>
        <v>6.708683283750001</v>
      </c>
      <c r="AD317" s="141" t="s">
        <v>184</v>
      </c>
      <c r="AE317" s="65"/>
      <c r="AF317" s="320" t="s">
        <v>203</v>
      </c>
      <c r="AG317" s="476"/>
      <c r="AH317"/>
      <c r="AI317"/>
      <c r="AJ317"/>
      <c r="AK317"/>
      <c r="AL317" s="96" t="s">
        <v>67</v>
      </c>
      <c r="AM317" s="85" t="s">
        <v>66</v>
      </c>
      <c r="AN317" s="176">
        <f>(_xlfn.AGGREGATE(9,6,AN300,AN301,AN303,AN304)/365)*0.67*AJ294*$R$9/100*$R$17</f>
        <v>5.2648321950000003</v>
      </c>
      <c r="AO317" s="176">
        <f>(_xlfn.AGGREGATE(9,6,AN300,AN301,AN303,AN304)/365)*0.67*AJ294*$R$9/100*(365-$R$17)</f>
        <v>5.2648321950000003</v>
      </c>
      <c r="AP317" s="141" t="s">
        <v>184</v>
      </c>
      <c r="AQ317" s="65"/>
      <c r="AR317" s="474" t="s">
        <v>203</v>
      </c>
    </row>
    <row r="318" spans="21:44" x14ac:dyDescent="0.25">
      <c r="U318" s="275"/>
      <c r="Z318" s="21"/>
      <c r="AA318" s="5"/>
      <c r="AB318" s="5"/>
      <c r="AC318" s="5"/>
      <c r="AD318" s="204"/>
      <c r="AE318" s="125" t="s">
        <v>71</v>
      </c>
      <c r="AF318" s="320" t="s">
        <v>203</v>
      </c>
      <c r="AG318" s="476"/>
      <c r="AH318"/>
      <c r="AI318"/>
      <c r="AJ318"/>
      <c r="AK318"/>
      <c r="AL318" s="21"/>
      <c r="AM318" s="5"/>
      <c r="AN318" s="5"/>
      <c r="AO318" s="5"/>
      <c r="AP318" s="204"/>
      <c r="AQ318" s="125" t="s">
        <v>71</v>
      </c>
      <c r="AR318" s="474" t="s">
        <v>203</v>
      </c>
    </row>
    <row r="319" spans="21:44" x14ac:dyDescent="0.25">
      <c r="U319" s="275"/>
      <c r="Z319" s="97" t="s">
        <v>68</v>
      </c>
      <c r="AA319" s="85" t="s">
        <v>66</v>
      </c>
      <c r="AB319" s="93">
        <f xml:space="preserve"> _xlfn.AGGREGATE(9, 6, AB317:AC317, AB311:AC312,AB308)</f>
        <v>13.417366567500002</v>
      </c>
      <c r="AC319" s="176"/>
      <c r="AD319" s="141" t="s">
        <v>118</v>
      </c>
      <c r="AE319" s="65"/>
      <c r="AF319" s="320" t="s">
        <v>203</v>
      </c>
      <c r="AG319" s="476"/>
      <c r="AH319"/>
      <c r="AI319"/>
      <c r="AJ319"/>
      <c r="AK319"/>
      <c r="AL319" s="97" t="s">
        <v>68</v>
      </c>
      <c r="AM319" s="85" t="s">
        <v>66</v>
      </c>
      <c r="AN319" s="93">
        <f xml:space="preserve"> _xlfn.AGGREGATE(9, 6, AN317:AO317, AN311:AO312,AN308)</f>
        <v>10.529664390000001</v>
      </c>
      <c r="AO319" s="176"/>
      <c r="AP319" s="141" t="s">
        <v>118</v>
      </c>
      <c r="AQ319" s="65"/>
      <c r="AR319" s="474" t="s">
        <v>203</v>
      </c>
    </row>
    <row r="320" spans="21:44" x14ac:dyDescent="0.25">
      <c r="U320" s="275"/>
      <c r="Z320" s="97" t="s">
        <v>248</v>
      </c>
      <c r="AA320" s="85" t="s">
        <v>66</v>
      </c>
      <c r="AB320" s="259">
        <f xml:space="preserve"> _xlfn.AGGREGATE(9, 6, AB317:AC317, AB315:AC316,AB308,AB312:AC312)</f>
        <v>13.417366567500002</v>
      </c>
      <c r="AC320" s="85"/>
      <c r="AD320" s="141"/>
      <c r="AE320" s="65"/>
      <c r="AF320" s="320" t="s">
        <v>203</v>
      </c>
      <c r="AG320" s="476"/>
      <c r="AH320"/>
      <c r="AI320"/>
      <c r="AJ320"/>
      <c r="AK320"/>
      <c r="AL320" s="97" t="s">
        <v>248</v>
      </c>
      <c r="AM320" s="85" t="s">
        <v>66</v>
      </c>
      <c r="AN320" s="259">
        <f xml:space="preserve"> _xlfn.AGGREGATE(9, 6, AN317:AO317, AN315:AO316,AN308,AN312:AO312)</f>
        <v>10.529664390000001</v>
      </c>
      <c r="AO320" s="85"/>
      <c r="AP320" s="141"/>
      <c r="AQ320" s="65"/>
      <c r="AR320" s="474" t="s">
        <v>203</v>
      </c>
    </row>
    <row r="321" spans="21:44" x14ac:dyDescent="0.25">
      <c r="U321" s="275"/>
      <c r="Z321" s="54"/>
      <c r="AA321" s="55" t="s">
        <v>238</v>
      </c>
      <c r="AB321" s="14" t="s">
        <v>381</v>
      </c>
      <c r="AC321" s="15" t="s">
        <v>382</v>
      </c>
      <c r="AD321" s="141"/>
      <c r="AE321" s="65"/>
      <c r="AF321" s="320" t="s">
        <v>203</v>
      </c>
      <c r="AG321" s="476"/>
      <c r="AH321"/>
      <c r="AI321"/>
      <c r="AJ321"/>
      <c r="AK321"/>
      <c r="AL321" s="54"/>
      <c r="AM321" s="55" t="s">
        <v>238</v>
      </c>
      <c r="AN321" s="14" t="s">
        <v>381</v>
      </c>
      <c r="AO321" s="15" t="s">
        <v>382</v>
      </c>
      <c r="AP321" s="141"/>
      <c r="AQ321" s="65"/>
      <c r="AR321" s="474" t="s">
        <v>203</v>
      </c>
    </row>
    <row r="322" spans="21:44" x14ac:dyDescent="0.25">
      <c r="U322" s="275"/>
      <c r="Z322" s="52" t="s">
        <v>421</v>
      </c>
      <c r="AA322" s="333">
        <f>AB308</f>
        <v>0</v>
      </c>
      <c r="AB322" s="333">
        <f xml:space="preserve"> _xlfn.AGGREGATE(9, 6, AB317, AB315:AB316,AB312)</f>
        <v>6.708683283750001</v>
      </c>
      <c r="AC322" s="334">
        <f xml:space="preserve"> _xlfn.AGGREGATE(9, 6, AC317, AC315:AC316,AC312)</f>
        <v>6.708683283750001</v>
      </c>
      <c r="AD322" s="141"/>
      <c r="AE322" s="65"/>
      <c r="AF322" s="320" t="s">
        <v>203</v>
      </c>
      <c r="AG322" s="476"/>
      <c r="AH322"/>
      <c r="AI322"/>
      <c r="AJ322"/>
      <c r="AK322"/>
      <c r="AL322" s="52" t="s">
        <v>421</v>
      </c>
      <c r="AM322" s="333">
        <f>AN308</f>
        <v>0</v>
      </c>
      <c r="AN322" s="333">
        <f xml:space="preserve"> _xlfn.AGGREGATE(9, 6, AN317, AN315:AN316,AN312)</f>
        <v>5.2648321950000003</v>
      </c>
      <c r="AO322" s="334">
        <f xml:space="preserve"> _xlfn.AGGREGATE(9, 6, AO317, AO315:AO316,AO312)</f>
        <v>5.2648321950000003</v>
      </c>
      <c r="AP322" s="141"/>
      <c r="AQ322" s="65"/>
      <c r="AR322" s="474" t="s">
        <v>203</v>
      </c>
    </row>
    <row r="323" spans="21:44" x14ac:dyDescent="0.25">
      <c r="U323" s="275"/>
      <c r="Z323" s="97"/>
      <c r="AA323" s="85"/>
      <c r="AB323" s="85"/>
      <c r="AC323" s="85"/>
      <c r="AD323" s="141"/>
      <c r="AE323" s="65"/>
      <c r="AF323" s="320" t="s">
        <v>203</v>
      </c>
      <c r="AG323" s="476"/>
      <c r="AH323"/>
      <c r="AI323"/>
      <c r="AJ323"/>
      <c r="AK323"/>
      <c r="AL323" s="97"/>
      <c r="AM323" s="85"/>
      <c r="AN323" s="85"/>
      <c r="AO323" s="85"/>
      <c r="AP323" s="141"/>
      <c r="AQ323" s="65"/>
      <c r="AR323" s="474" t="s">
        <v>203</v>
      </c>
    </row>
    <row r="324" spans="21:44" x14ac:dyDescent="0.25">
      <c r="U324" s="275"/>
      <c r="Z324" s="96" t="s">
        <v>181</v>
      </c>
      <c r="AA324" s="85"/>
      <c r="AB324" s="176"/>
      <c r="AC324" s="176"/>
      <c r="AD324" s="141"/>
      <c r="AE324" s="65"/>
      <c r="AF324" s="320" t="s">
        <v>203</v>
      </c>
      <c r="AG324" s="476"/>
      <c r="AH324"/>
      <c r="AI324"/>
      <c r="AJ324"/>
      <c r="AK324"/>
      <c r="AL324" s="96" t="s">
        <v>181</v>
      </c>
      <c r="AM324" s="85"/>
      <c r="AN324" s="176"/>
      <c r="AO324" s="176"/>
      <c r="AP324" s="141"/>
      <c r="AQ324" s="65"/>
      <c r="AR324" s="474" t="s">
        <v>203</v>
      </c>
    </row>
    <row r="325" spans="21:44" x14ac:dyDescent="0.25">
      <c r="U325" s="275"/>
      <c r="Z325" s="96" t="s">
        <v>185</v>
      </c>
      <c r="AA325" s="84" t="s">
        <v>13</v>
      </c>
      <c r="AB325" s="176">
        <f>AB319*$R$14</f>
        <v>374.34452723325006</v>
      </c>
      <c r="AC325" s="176"/>
      <c r="AD325" s="141" t="s">
        <v>117</v>
      </c>
      <c r="AE325" s="65"/>
      <c r="AF325" s="320" t="s">
        <v>203</v>
      </c>
      <c r="AG325" s="476"/>
      <c r="AH325"/>
      <c r="AI325"/>
      <c r="AJ325"/>
      <c r="AK325"/>
      <c r="AL325" s="96" t="s">
        <v>185</v>
      </c>
      <c r="AM325" s="84" t="s">
        <v>13</v>
      </c>
      <c r="AN325" s="176">
        <f>AN319*$R$14</f>
        <v>293.777636481</v>
      </c>
      <c r="AO325" s="176"/>
      <c r="AP325" s="141" t="s">
        <v>117</v>
      </c>
      <c r="AQ325" s="65"/>
      <c r="AR325" s="474" t="s">
        <v>203</v>
      </c>
    </row>
    <row r="326" spans="21:44" x14ac:dyDescent="0.25">
      <c r="U326" s="275"/>
      <c r="Z326" s="96" t="s">
        <v>249</v>
      </c>
      <c r="AA326" s="84" t="s">
        <v>13</v>
      </c>
      <c r="AB326" s="258">
        <f>AB320*$R$14</f>
        <v>374.34452723325006</v>
      </c>
      <c r="AC326" s="176"/>
      <c r="AD326" s="141" t="s">
        <v>117</v>
      </c>
      <c r="AE326" s="65"/>
      <c r="AF326" s="320" t="s">
        <v>203</v>
      </c>
      <c r="AG326" s="476"/>
      <c r="AH326"/>
      <c r="AI326"/>
      <c r="AJ326"/>
      <c r="AK326"/>
      <c r="AL326" s="96" t="s">
        <v>249</v>
      </c>
      <c r="AM326" s="84" t="s">
        <v>13</v>
      </c>
      <c r="AN326" s="258">
        <f>AN320*$R$14</f>
        <v>293.777636481</v>
      </c>
      <c r="AO326" s="176"/>
      <c r="AP326" s="141" t="s">
        <v>117</v>
      </c>
      <c r="AQ326" s="65"/>
      <c r="AR326" s="474" t="s">
        <v>203</v>
      </c>
    </row>
    <row r="327" spans="21:44" x14ac:dyDescent="0.25">
      <c r="U327" s="275"/>
      <c r="Z327" s="25"/>
      <c r="AA327" s="55" t="s">
        <v>238</v>
      </c>
      <c r="AB327" s="14" t="s">
        <v>381</v>
      </c>
      <c r="AC327" s="15" t="s">
        <v>382</v>
      </c>
      <c r="AE327" s="18"/>
      <c r="AF327" s="320" t="s">
        <v>203</v>
      </c>
      <c r="AG327" s="476"/>
      <c r="AH327"/>
      <c r="AI327"/>
      <c r="AJ327"/>
      <c r="AK327"/>
      <c r="AL327" s="25"/>
      <c r="AM327" s="55" t="s">
        <v>238</v>
      </c>
      <c r="AN327" s="14" t="s">
        <v>381</v>
      </c>
      <c r="AO327" s="15" t="s">
        <v>382</v>
      </c>
      <c r="AP327" s="202"/>
      <c r="AQ327" s="18"/>
      <c r="AR327" s="474" t="s">
        <v>203</v>
      </c>
    </row>
    <row r="328" spans="21:44" x14ac:dyDescent="0.25">
      <c r="U328" s="275"/>
      <c r="Z328" s="29" t="s">
        <v>422</v>
      </c>
      <c r="AA328" s="333">
        <f>AA322*$R$14</f>
        <v>0</v>
      </c>
      <c r="AB328" s="333">
        <f>AB322*$R$14</f>
        <v>187.17226361662503</v>
      </c>
      <c r="AC328" s="334">
        <f>AC322*$R$14</f>
        <v>187.17226361662503</v>
      </c>
      <c r="AD328" s="335" t="s">
        <v>117</v>
      </c>
      <c r="AE328" s="23"/>
      <c r="AF328" s="320" t="s">
        <v>203</v>
      </c>
      <c r="AG328" s="476"/>
      <c r="AH328"/>
      <c r="AI328"/>
      <c r="AJ328"/>
      <c r="AK328"/>
      <c r="AL328" s="29" t="s">
        <v>422</v>
      </c>
      <c r="AM328" s="333">
        <f>AM322*$R$14</f>
        <v>0</v>
      </c>
      <c r="AN328" s="333">
        <f>AN322*$R$14</f>
        <v>146.8888182405</v>
      </c>
      <c r="AO328" s="334">
        <f>AO322*$R$14</f>
        <v>146.8888182405</v>
      </c>
      <c r="AP328" s="335" t="s">
        <v>117</v>
      </c>
      <c r="AQ328" s="23"/>
      <c r="AR328" s="474" t="s">
        <v>203</v>
      </c>
    </row>
    <row r="329" spans="21:44" x14ac:dyDescent="0.25">
      <c r="AF329" s="320" t="s">
        <v>203</v>
      </c>
      <c r="AG329"/>
      <c r="AH329"/>
      <c r="AI329"/>
      <c r="AJ329"/>
      <c r="AK329"/>
      <c r="AL329"/>
      <c r="AM329"/>
      <c r="AN329"/>
      <c r="AO329"/>
      <c r="AP329" s="202"/>
      <c r="AQ329"/>
      <c r="AR329" s="474" t="s">
        <v>203</v>
      </c>
    </row>
    <row r="330" spans="21:44" x14ac:dyDescent="0.25">
      <c r="U330" s="275"/>
      <c r="V330" s="670" t="s">
        <v>287</v>
      </c>
      <c r="AF330" s="320" t="s">
        <v>203</v>
      </c>
      <c r="AG330" s="476"/>
      <c r="AH330" s="670" t="s">
        <v>466</v>
      </c>
      <c r="AI330"/>
      <c r="AJ330"/>
      <c r="AK330"/>
      <c r="AL330"/>
      <c r="AM330"/>
      <c r="AN330"/>
      <c r="AO330"/>
      <c r="AP330" s="202"/>
      <c r="AQ330"/>
      <c r="AR330" s="474" t="s">
        <v>203</v>
      </c>
    </row>
    <row r="331" spans="21:44" x14ac:dyDescent="0.25">
      <c r="U331" s="275"/>
      <c r="W331" s="670" t="s">
        <v>65</v>
      </c>
      <c r="X331">
        <f>INDEX($Q$2:$S$3, 2,MATCH(W331,$Q$2:$S$2,0))</f>
        <v>0.18</v>
      </c>
      <c r="Y331" t="s">
        <v>63</v>
      </c>
      <c r="Z331" s="103"/>
      <c r="AA331" s="191"/>
      <c r="AB331" s="191"/>
      <c r="AC331" s="191"/>
      <c r="AD331" s="237"/>
      <c r="AE331" s="238"/>
      <c r="AF331" s="320" t="s">
        <v>203</v>
      </c>
      <c r="AG331" s="476"/>
      <c r="AH331"/>
      <c r="AI331" s="670" t="s">
        <v>65</v>
      </c>
      <c r="AJ331">
        <f>INDEX($Q$2:$S$3, 2,MATCH(AI331,$Q$2:$S$2,0))</f>
        <v>0.18</v>
      </c>
      <c r="AK331" t="s">
        <v>63</v>
      </c>
      <c r="AL331" s="103"/>
      <c r="AM331" s="191"/>
      <c r="AN331" s="191"/>
      <c r="AO331" s="191"/>
      <c r="AP331" s="237"/>
      <c r="AQ331" s="238"/>
      <c r="AR331" s="474" t="s">
        <v>203</v>
      </c>
    </row>
    <row r="332" spans="21:44" x14ac:dyDescent="0.25">
      <c r="U332" s="275"/>
      <c r="W332" s="108" t="s">
        <v>93</v>
      </c>
      <c r="X332" s="109"/>
      <c r="Z332" s="239" t="s">
        <v>231</v>
      </c>
      <c r="AA332" s="194"/>
      <c r="AB332" s="194"/>
      <c r="AC332" s="194"/>
      <c r="AD332" s="240"/>
      <c r="AE332" s="241"/>
      <c r="AF332" s="320" t="s">
        <v>203</v>
      </c>
      <c r="AG332" s="476"/>
      <c r="AH332"/>
      <c r="AI332" s="108" t="s">
        <v>93</v>
      </c>
      <c r="AJ332" s="109"/>
      <c r="AK332"/>
      <c r="AL332" s="239" t="s">
        <v>231</v>
      </c>
      <c r="AM332" s="194"/>
      <c r="AN332" s="194"/>
      <c r="AO332" s="194"/>
      <c r="AP332" s="240"/>
      <c r="AQ332" s="241"/>
      <c r="AR332" s="474" t="s">
        <v>203</v>
      </c>
    </row>
    <row r="333" spans="21:44" x14ac:dyDescent="0.25">
      <c r="U333" s="275"/>
      <c r="W333" s="110" t="s">
        <v>81</v>
      </c>
      <c r="X333" s="665">
        <v>0</v>
      </c>
      <c r="Z333" s="126"/>
      <c r="AA333" s="192"/>
      <c r="AB333" s="192"/>
      <c r="AC333" s="192"/>
      <c r="AD333" s="242"/>
      <c r="AE333" s="243"/>
      <c r="AF333" s="320" t="s">
        <v>203</v>
      </c>
      <c r="AG333" s="476"/>
      <c r="AH333"/>
      <c r="AI333" s="110" t="s">
        <v>81</v>
      </c>
      <c r="AJ333" s="665">
        <v>0</v>
      </c>
      <c r="AK333"/>
      <c r="AL333" s="126"/>
      <c r="AM333" s="192"/>
      <c r="AN333" s="192"/>
      <c r="AO333" s="192"/>
      <c r="AP333" s="242"/>
      <c r="AQ333" s="243"/>
      <c r="AR333" s="474" t="s">
        <v>203</v>
      </c>
    </row>
    <row r="334" spans="21:44" x14ac:dyDescent="0.25">
      <c r="U334" s="275"/>
      <c r="W334" s="228" t="s">
        <v>82</v>
      </c>
      <c r="X334" s="666">
        <v>0</v>
      </c>
      <c r="Z334" s="127"/>
      <c r="AA334" s="54" t="s">
        <v>5</v>
      </c>
      <c r="AB334" s="187" t="s">
        <v>6</v>
      </c>
      <c r="AC334" s="128"/>
      <c r="AD334" s="203"/>
      <c r="AE334" s="124"/>
      <c r="AF334" s="320" t="s">
        <v>203</v>
      </c>
      <c r="AG334" s="476"/>
      <c r="AH334"/>
      <c r="AI334" s="228" t="s">
        <v>82</v>
      </c>
      <c r="AJ334" s="666">
        <v>0</v>
      </c>
      <c r="AK334"/>
      <c r="AL334" s="127"/>
      <c r="AM334" s="54" t="s">
        <v>5</v>
      </c>
      <c r="AN334" s="187" t="s">
        <v>6</v>
      </c>
      <c r="AO334" s="128"/>
      <c r="AP334" s="203"/>
      <c r="AQ334" s="124"/>
      <c r="AR334" s="474" t="s">
        <v>203</v>
      </c>
    </row>
    <row r="335" spans="21:44" x14ac:dyDescent="0.25">
      <c r="U335" s="275"/>
      <c r="Z335" s="96" t="s">
        <v>145</v>
      </c>
      <c r="AA335" s="183">
        <f>INDEX(Normtal!$Q$3:$AC$551,MATCH('CH4_Gylle_Stald&amp;Lager'!V330,Normtal!$Q$3:$Q$551,0),9)*(X333/365)*(X334/24)</f>
        <v>0</v>
      </c>
      <c r="AB335" s="78"/>
      <c r="AC335" s="44"/>
      <c r="AD335" s="204" t="s">
        <v>147</v>
      </c>
      <c r="AE335" s="65"/>
      <c r="AF335" s="320" t="s">
        <v>203</v>
      </c>
      <c r="AG335" s="476"/>
      <c r="AH335"/>
      <c r="AI335"/>
      <c r="AJ335"/>
      <c r="AK335"/>
      <c r="AL335" s="96" t="s">
        <v>145</v>
      </c>
      <c r="AM335" s="183">
        <f>INDEX(Normtal!$Q$3:$AC$551,MATCH('CH4_Gylle_Stald&amp;Lager'!AH330,Normtal!$Q$3:$Q$551,0),9)*(AJ333/365)*(AJ334/24)</f>
        <v>0</v>
      </c>
      <c r="AN335" s="78"/>
      <c r="AO335" s="44"/>
      <c r="AP335" s="204" t="s">
        <v>147</v>
      </c>
      <c r="AQ335" s="65"/>
      <c r="AR335" s="474" t="s">
        <v>203</v>
      </c>
    </row>
    <row r="336" spans="21:44" x14ac:dyDescent="0.25">
      <c r="U336" s="275"/>
      <c r="V336" s="45"/>
      <c r="W336" s="229" t="s">
        <v>221</v>
      </c>
      <c r="X336" s="230"/>
      <c r="Z336" s="96"/>
      <c r="AA336" s="667" t="s">
        <v>285</v>
      </c>
      <c r="AB336" s="220" t="s">
        <v>210</v>
      </c>
      <c r="AC336" s="5"/>
      <c r="AD336" s="226"/>
      <c r="AE336" s="65"/>
      <c r="AF336" s="320" t="s">
        <v>203</v>
      </c>
      <c r="AG336" s="476"/>
      <c r="AH336" s="45"/>
      <c r="AI336" s="229" t="s">
        <v>221</v>
      </c>
      <c r="AJ336" s="230"/>
      <c r="AK336"/>
      <c r="AL336" s="96"/>
      <c r="AM336" s="667" t="s">
        <v>612</v>
      </c>
      <c r="AN336" s="220" t="s">
        <v>210</v>
      </c>
      <c r="AO336" s="5"/>
      <c r="AP336" s="226"/>
      <c r="AQ336" s="65"/>
      <c r="AR336" s="474" t="s">
        <v>203</v>
      </c>
    </row>
    <row r="337" spans="21:44" x14ac:dyDescent="0.25">
      <c r="U337" s="275"/>
      <c r="V337" s="5"/>
      <c r="W337" s="231" t="s">
        <v>224</v>
      </c>
      <c r="X337" s="669">
        <v>0.25</v>
      </c>
      <c r="Z337" s="97" t="s">
        <v>115</v>
      </c>
      <c r="AA337" s="183">
        <f>INDEX(Normtal!$Q$3:$AC$551,MATCH('CH4_Gylle_Stald&amp;Lager'!AA336,Normtal!$AA$3:$AA$551,0),9)*$X338/365</f>
        <v>38.579915721231764</v>
      </c>
      <c r="AB337" s="183" t="e">
        <f>INDEX(Normtal!$Q$3:$AC$551,MATCH('CH4_Gylle_Stald&amp;Lager'!AB336,Normtal!$AA$3:$AA$551,0),9)*$X338/365</f>
        <v>#N/A</v>
      </c>
      <c r="AC337" s="44"/>
      <c r="AD337" s="204"/>
      <c r="AE337" s="65"/>
      <c r="AF337" s="320" t="s">
        <v>203</v>
      </c>
      <c r="AG337" s="476"/>
      <c r="AH337" s="5"/>
      <c r="AI337" s="231" t="s">
        <v>224</v>
      </c>
      <c r="AJ337" s="669">
        <v>0.18</v>
      </c>
      <c r="AK337"/>
      <c r="AL337" s="97" t="s">
        <v>115</v>
      </c>
      <c r="AM337" s="183">
        <f>INDEX(Normtal!$Q$3:$AC$551,MATCH('CH4_Gylle_Stald&amp;Lager'!AM336,Normtal!$AA$3:$AA$551,0),9)*$AJ338/365</f>
        <v>36.899023285213488</v>
      </c>
      <c r="AN337" s="183" t="e">
        <f>INDEX(Normtal!$Q$3:$AC$551,MATCH('CH4_Gylle_Stald&amp;Lager'!AN336,Normtal!$AA$3:$AA$551,0),9)*$AJ338/365</f>
        <v>#N/A</v>
      </c>
      <c r="AO337" s="44"/>
      <c r="AP337" s="204"/>
      <c r="AQ337" s="65"/>
      <c r="AR337" s="474" t="s">
        <v>203</v>
      </c>
    </row>
    <row r="338" spans="21:44" x14ac:dyDescent="0.25">
      <c r="U338" s="275"/>
      <c r="W338" s="233" t="s">
        <v>223</v>
      </c>
      <c r="X338" s="583">
        <f>(365-X333*X334/24)*X337</f>
        <v>91.25</v>
      </c>
      <c r="Z338" s="97" t="s">
        <v>116</v>
      </c>
      <c r="AA338" s="183">
        <f>INDEX(Normtal!$Q$3:$AC$551,MATCH('CH4_Gylle_Stald&amp;Lager'!AA336,Normtal!$AA$3:$AA$551,0),7)*$X338/365</f>
        <v>22.1053125</v>
      </c>
      <c r="AB338" s="183" t="e">
        <f>INDEX(Normtal!$Q$3:$AC$551,MATCH('CH4_Gylle_Stald&amp;Lager'!AB336,Normtal!$AA$3:$AA$551,0),7)*$X338/365</f>
        <v>#N/A</v>
      </c>
      <c r="AC338" s="44"/>
      <c r="AD338" s="204"/>
      <c r="AE338" s="65"/>
      <c r="AF338" s="320" t="s">
        <v>203</v>
      </c>
      <c r="AG338" s="476"/>
      <c r="AH338"/>
      <c r="AI338" s="233" t="s">
        <v>223</v>
      </c>
      <c r="AJ338" s="583">
        <f>(365-AJ333*AJ334/24)*AJ337</f>
        <v>65.7</v>
      </c>
      <c r="AK338"/>
      <c r="AL338" s="97" t="s">
        <v>116</v>
      </c>
      <c r="AM338" s="183">
        <f>INDEX(Normtal!$Q$3:$AC$551,MATCH('CH4_Gylle_Stald&amp;Lager'!AM336,Normtal!$AA$3:$AA$551,0),7)*$AJ338/365</f>
        <v>10.610550000000002</v>
      </c>
      <c r="AN338" s="183" t="e">
        <f>INDEX(Normtal!$Q$3:$AC$551,MATCH('CH4_Gylle_Stald&amp;Lager'!AN336,Normtal!$AA$3:$AA$551,0),7)*$AJ338/365</f>
        <v>#N/A</v>
      </c>
      <c r="AO338" s="44"/>
      <c r="AP338" s="204"/>
      <c r="AQ338" s="65"/>
      <c r="AR338" s="474" t="s">
        <v>203</v>
      </c>
    </row>
    <row r="339" spans="21:44" x14ac:dyDescent="0.25">
      <c r="U339" s="275"/>
      <c r="W339" s="229" t="s">
        <v>222</v>
      </c>
      <c r="X339" s="230"/>
      <c r="Z339" s="225"/>
      <c r="AA339" s="667" t="s">
        <v>284</v>
      </c>
      <c r="AB339" s="667" t="s">
        <v>286</v>
      </c>
      <c r="AC339" s="5"/>
      <c r="AD339" s="227"/>
      <c r="AE339" s="65"/>
      <c r="AF339" s="320" t="s">
        <v>203</v>
      </c>
      <c r="AG339" s="476"/>
      <c r="AH339"/>
      <c r="AI339" s="229" t="s">
        <v>222</v>
      </c>
      <c r="AJ339" s="230"/>
      <c r="AK339"/>
      <c r="AL339" s="225"/>
      <c r="AM339" s="667" t="s">
        <v>613</v>
      </c>
      <c r="AN339" s="667" t="s">
        <v>614</v>
      </c>
      <c r="AO339" s="5"/>
      <c r="AP339" s="227"/>
      <c r="AQ339" s="65"/>
      <c r="AR339" s="474" t="s">
        <v>203</v>
      </c>
    </row>
    <row r="340" spans="21:44" x14ac:dyDescent="0.25">
      <c r="U340" s="275"/>
      <c r="W340" s="231" t="s">
        <v>224</v>
      </c>
      <c r="X340" s="232">
        <f>1-X337</f>
        <v>0.75</v>
      </c>
      <c r="Z340" s="97" t="s">
        <v>115</v>
      </c>
      <c r="AA340" s="183">
        <f>INDEX(Normtal!$Q$3:$AC$551,MATCH('CH4_Gylle_Stald&amp;Lager'!AA339,Normtal!$AA$3:$AA$551,0),9)*$X341/365</f>
        <v>46.295898865478115</v>
      </c>
      <c r="AB340" s="183">
        <f>INDEX(Normtal!$Q$3:$AC$551,MATCH('CH4_Gylle_Stald&amp;Lager'!AB339,Normtal!$AA$3:$AA$551,0),9)*$X341/365</f>
        <v>69.443848298217176</v>
      </c>
      <c r="AC340" s="44"/>
      <c r="AD340" s="204" t="s">
        <v>148</v>
      </c>
      <c r="AE340" s="65"/>
      <c r="AF340" s="320" t="s">
        <v>203</v>
      </c>
      <c r="AG340" s="476"/>
      <c r="AH340"/>
      <c r="AI340" s="231" t="s">
        <v>224</v>
      </c>
      <c r="AJ340" s="232">
        <f>1-AJ337</f>
        <v>0.82000000000000006</v>
      </c>
      <c r="AK340"/>
      <c r="AL340" s="97" t="s">
        <v>115</v>
      </c>
      <c r="AM340" s="183">
        <f>INDEX(Normtal!$Q$3:$AC$551,MATCH('CH4_Gylle_Stald&amp;Lager'!AM339,Normtal!$AA$3:$AA$551,0),9)*$AJ341/365</f>
        <v>67.238220208611253</v>
      </c>
      <c r="AN340" s="183">
        <f>INDEX(Normtal!$Q$3:$AC$551,MATCH('CH4_Gylle_Stald&amp;Lager'!AN339,Normtal!$AA$3:$AA$551,0),9)*$AJ341/365</f>
        <v>100.85733031291687</v>
      </c>
      <c r="AO340" s="44"/>
      <c r="AP340" s="204" t="s">
        <v>148</v>
      </c>
      <c r="AQ340" s="65"/>
      <c r="AR340" s="474" t="s">
        <v>203</v>
      </c>
    </row>
    <row r="341" spans="21:44" x14ac:dyDescent="0.25">
      <c r="U341" s="275"/>
      <c r="V341" s="5"/>
      <c r="W341" s="233" t="s">
        <v>81</v>
      </c>
      <c r="X341" s="234">
        <f>(365-X333*X334/24)*X340</f>
        <v>273.75</v>
      </c>
      <c r="Z341" s="97" t="s">
        <v>116</v>
      </c>
      <c r="AA341" s="222">
        <f>INDEX(Normtal!$Q$3:$AC$551,MATCH('CH4_Gylle_Stald&amp;Lager'!AA339,Normtal!$AA$3:$AA$551,0),7)*$X341/365</f>
        <v>0</v>
      </c>
      <c r="AB341" s="222">
        <f>INDEX(Normtal!$Q$3:$AC$551,MATCH('CH4_Gylle_Stald&amp;Lager'!AB339,Normtal!$AA$3:$AA$551,0),7)*$X341/365</f>
        <v>685.26468749999992</v>
      </c>
      <c r="AC341" s="44"/>
      <c r="AD341" s="141"/>
      <c r="AE341" s="65"/>
      <c r="AF341" s="320" t="s">
        <v>203</v>
      </c>
      <c r="AG341" s="476"/>
      <c r="AH341" s="5"/>
      <c r="AI341" s="233" t="s">
        <v>81</v>
      </c>
      <c r="AJ341" s="234">
        <f>(365-AJ333*AJ334/24)*AJ340</f>
        <v>299.3</v>
      </c>
      <c r="AK341"/>
      <c r="AL341" s="97" t="s">
        <v>116</v>
      </c>
      <c r="AM341" s="222">
        <f>INDEX(Normtal!$Q$3:$AC$551,MATCH('CH4_Gylle_Stald&amp;Lager'!AM339,Normtal!$AA$3:$AA$551,0),7)*$AJ341/365</f>
        <v>0</v>
      </c>
      <c r="AN341" s="222">
        <f>INDEX(Normtal!$Q$3:$AC$551,MATCH('CH4_Gylle_Stald&amp;Lager'!AN339,Normtal!$AA$3:$AA$551,0),7)*$AJ341/365</f>
        <v>555.87492499999996</v>
      </c>
      <c r="AO341" s="44"/>
      <c r="AP341" s="141"/>
      <c r="AQ341" s="65"/>
      <c r="AR341" s="474" t="s">
        <v>203</v>
      </c>
    </row>
    <row r="342" spans="21:44" x14ac:dyDescent="0.25">
      <c r="U342" s="275"/>
      <c r="Z342" s="235" t="s">
        <v>225</v>
      </c>
      <c r="AA342" s="90">
        <f>_xlfn.AGGREGATE(9,6,AA335:AB335,AA337:AB337,AA340:AB340)</f>
        <v>154.31966288492706</v>
      </c>
      <c r="AB342" s="267">
        <f>INDEX(Normtal!$Q$3:$AC$551,MATCH('CH4_Gylle_Stald&amp;Lager'!V330,Normtal!$Q$3:$Q$551,0),9)</f>
        <v>154.31966288492706</v>
      </c>
      <c r="AC342" s="44"/>
      <c r="AD342" s="141"/>
      <c r="AE342" s="65"/>
      <c r="AF342" s="320" t="s">
        <v>203</v>
      </c>
      <c r="AG342" s="476"/>
      <c r="AH342"/>
      <c r="AI342"/>
      <c r="AJ342"/>
      <c r="AK342"/>
      <c r="AL342" s="235" t="s">
        <v>225</v>
      </c>
      <c r="AM342" s="90">
        <f>_xlfn.AGGREGATE(9,6,AM335:AN335,AM337:AN337,AM340:AN340)</f>
        <v>204.99457380674161</v>
      </c>
      <c r="AN342" s="267">
        <f>INDEX(Normtal!$Q$3:$AC$551,MATCH('CH4_Gylle_Stald&amp;Lager'!AH330,Normtal!$Q$3:$Q$551,0),9)</f>
        <v>204.99457380674161</v>
      </c>
      <c r="AO342" s="44"/>
      <c r="AP342" s="141"/>
      <c r="AQ342" s="65"/>
      <c r="AR342" s="474" t="s">
        <v>203</v>
      </c>
    </row>
    <row r="343" spans="21:44" x14ac:dyDescent="0.25">
      <c r="U343" s="275"/>
      <c r="W343" s="257" t="s">
        <v>245</v>
      </c>
      <c r="X343" s="668">
        <v>0</v>
      </c>
      <c r="Z343" s="96"/>
      <c r="AA343" s="85"/>
      <c r="AB343" s="93"/>
      <c r="AC343" s="93"/>
      <c r="AD343" s="141"/>
      <c r="AE343" s="65"/>
      <c r="AF343" s="320" t="s">
        <v>203</v>
      </c>
      <c r="AG343" s="476"/>
      <c r="AH343"/>
      <c r="AI343" s="257" t="s">
        <v>245</v>
      </c>
      <c r="AJ343" s="668">
        <v>0</v>
      </c>
      <c r="AK343"/>
      <c r="AL343" s="96"/>
      <c r="AM343" s="85"/>
      <c r="AN343" s="93"/>
      <c r="AO343" s="93"/>
      <c r="AP343" s="141"/>
      <c r="AQ343" s="65"/>
      <c r="AR343" s="474" t="s">
        <v>203</v>
      </c>
    </row>
    <row r="344" spans="21:44" x14ac:dyDescent="0.25">
      <c r="U344" s="275"/>
      <c r="Z344" s="96" t="s">
        <v>84</v>
      </c>
      <c r="AA344" s="85"/>
      <c r="AB344" s="85"/>
      <c r="AC344" s="85"/>
      <c r="AD344" s="141"/>
      <c r="AE344" s="65"/>
      <c r="AF344" s="320" t="s">
        <v>203</v>
      </c>
      <c r="AG344" s="476"/>
      <c r="AH344"/>
      <c r="AI344"/>
      <c r="AJ344"/>
      <c r="AK344"/>
      <c r="AL344" s="96" t="s">
        <v>84</v>
      </c>
      <c r="AM344" s="85"/>
      <c r="AN344" s="85"/>
      <c r="AO344" s="85"/>
      <c r="AP344" s="141"/>
      <c r="AQ344" s="65"/>
      <c r="AR344" s="474" t="s">
        <v>203</v>
      </c>
    </row>
    <row r="345" spans="21:44" x14ac:dyDescent="0.25">
      <c r="U345" s="275"/>
      <c r="W345" s="77" t="s">
        <v>226</v>
      </c>
      <c r="X345" s="236">
        <f>X333*X334/24+X338+X341</f>
        <v>365</v>
      </c>
      <c r="Z345" s="97" t="s">
        <v>62</v>
      </c>
      <c r="AA345" s="85" t="s">
        <v>66</v>
      </c>
      <c r="AB345" s="176">
        <f>(AA335)*0.67*X331*$R$10/100</f>
        <v>0</v>
      </c>
      <c r="AC345" s="176"/>
      <c r="AD345" s="141" t="s">
        <v>146</v>
      </c>
      <c r="AE345" s="65"/>
      <c r="AF345" s="320" t="s">
        <v>203</v>
      </c>
      <c r="AG345" s="476"/>
      <c r="AH345"/>
      <c r="AI345" s="77" t="s">
        <v>226</v>
      </c>
      <c r="AJ345" s="236">
        <f>AJ333*AJ334/24+AJ338+AJ341</f>
        <v>365</v>
      </c>
      <c r="AK345"/>
      <c r="AL345" s="97" t="s">
        <v>62</v>
      </c>
      <c r="AM345" s="85" t="s">
        <v>66</v>
      </c>
      <c r="AN345" s="176">
        <f>(AM335)*0.67*AJ331*$R$10/100</f>
        <v>0</v>
      </c>
      <c r="AO345" s="176"/>
      <c r="AP345" s="141" t="s">
        <v>146</v>
      </c>
      <c r="AQ345" s="65"/>
      <c r="AR345" s="474" t="s">
        <v>203</v>
      </c>
    </row>
    <row r="346" spans="21:44" x14ac:dyDescent="0.25">
      <c r="U346" s="275"/>
      <c r="Z346" s="177"/>
      <c r="AA346" s="85"/>
      <c r="AB346" s="85"/>
      <c r="AC346" s="85"/>
      <c r="AD346" s="141"/>
      <c r="AE346" s="65"/>
      <c r="AF346" s="320" t="s">
        <v>203</v>
      </c>
      <c r="AG346" s="476"/>
      <c r="AH346"/>
      <c r="AI346"/>
      <c r="AJ346"/>
      <c r="AK346"/>
      <c r="AL346" s="177"/>
      <c r="AM346" s="85"/>
      <c r="AN346" s="85"/>
      <c r="AO346" s="85"/>
      <c r="AP346" s="141"/>
      <c r="AQ346" s="65"/>
      <c r="AR346" s="474" t="s">
        <v>203</v>
      </c>
    </row>
    <row r="347" spans="21:44" x14ac:dyDescent="0.25">
      <c r="U347" s="275"/>
      <c r="X347" s="244"/>
      <c r="Z347" s="96" t="s">
        <v>188</v>
      </c>
      <c r="AA347" s="85"/>
      <c r="AB347" s="85" t="s">
        <v>180</v>
      </c>
      <c r="AC347" s="85" t="s">
        <v>182</v>
      </c>
      <c r="AD347" s="141"/>
      <c r="AE347" s="65"/>
      <c r="AF347" s="320" t="s">
        <v>203</v>
      </c>
      <c r="AG347" s="476"/>
      <c r="AH347"/>
      <c r="AI347"/>
      <c r="AJ347" s="244"/>
      <c r="AK347"/>
      <c r="AL347" s="96" t="s">
        <v>188</v>
      </c>
      <c r="AM347" s="85"/>
      <c r="AN347" s="85" t="s">
        <v>180</v>
      </c>
      <c r="AO347" s="85" t="s">
        <v>182</v>
      </c>
      <c r="AP347" s="141"/>
      <c r="AQ347" s="65"/>
      <c r="AR347" s="474" t="s">
        <v>203</v>
      </c>
    </row>
    <row r="348" spans="21:44" x14ac:dyDescent="0.25">
      <c r="U348" s="275"/>
      <c r="X348" s="245"/>
      <c r="Z348" s="96" t="s">
        <v>227</v>
      </c>
      <c r="AA348" s="85" t="s">
        <v>66</v>
      </c>
      <c r="AB348" s="176">
        <f>(AA337+AA338*X338/365)/365*0.67*X331*$R$6/100*$R$17</f>
        <v>0.32979120648704419</v>
      </c>
      <c r="AC348" s="176">
        <f>(AA337+AA338*X338/365)/365*0.67*X331*$R$6/100*(365-$R$17)</f>
        <v>0.32979120648704419</v>
      </c>
      <c r="AD348" s="141"/>
      <c r="AE348" s="65"/>
      <c r="AF348" s="320" t="s">
        <v>203</v>
      </c>
      <c r="AG348" s="476"/>
      <c r="AH348"/>
      <c r="AI348"/>
      <c r="AJ348" s="245"/>
      <c r="AK348"/>
      <c r="AL348" s="96" t="s">
        <v>227</v>
      </c>
      <c r="AM348" s="85" t="s">
        <v>66</v>
      </c>
      <c r="AN348" s="176">
        <f>(AM337+AM338*AJ338/365)/365*0.67*AJ331*$R$6/100*$R$17</f>
        <v>0.2901820737109983</v>
      </c>
      <c r="AO348" s="176">
        <f>(AM337+AM338*AJ338/365)/365*0.67*AJ331*$R$6/100*(365-$R$17)</f>
        <v>0.2901820737109983</v>
      </c>
      <c r="AP348" s="141"/>
      <c r="AQ348" s="65"/>
      <c r="AR348" s="474" t="s">
        <v>203</v>
      </c>
    </row>
    <row r="349" spans="21:44" x14ac:dyDescent="0.25">
      <c r="U349" s="275"/>
      <c r="X349" s="245"/>
      <c r="Z349" s="96" t="s">
        <v>228</v>
      </c>
      <c r="AA349" s="85" t="s">
        <v>66</v>
      </c>
      <c r="AB349" s="176">
        <f>(AA340+AA341*X341/365)/365*0.67*X331*$R$6/100*$R$17</f>
        <v>0.34616369499695304</v>
      </c>
      <c r="AC349" s="176">
        <f>(AA340+AA341*X341/365)/365*0.67*X331*$R$6/100*(365-$R$17)</f>
        <v>0.34616369499695304</v>
      </c>
      <c r="AD349" s="141" t="s">
        <v>202</v>
      </c>
      <c r="AE349" s="65"/>
      <c r="AF349" s="320" t="s">
        <v>203</v>
      </c>
      <c r="AG349" s="476"/>
      <c r="AH349"/>
      <c r="AI349"/>
      <c r="AJ349" s="245"/>
      <c r="AK349"/>
      <c r="AL349" s="96" t="s">
        <v>228</v>
      </c>
      <c r="AM349" s="85" t="s">
        <v>66</v>
      </c>
      <c r="AN349" s="176">
        <f>(AM340+AM341*AJ341/365)/365*0.67*AJ331*$R$6/100*$R$17</f>
        <v>0.50275362014382807</v>
      </c>
      <c r="AO349" s="176">
        <f>(AM340+AM341*AJ341/365)/365*0.67*AJ331*$R$6/100*(365-$R$17)</f>
        <v>0.50275362014382807</v>
      </c>
      <c r="AP349" s="141" t="s">
        <v>202</v>
      </c>
      <c r="AQ349" s="65"/>
      <c r="AR349" s="474" t="s">
        <v>203</v>
      </c>
    </row>
    <row r="350" spans="21:44" x14ac:dyDescent="0.25">
      <c r="U350" s="275"/>
      <c r="Z350" s="96" t="s">
        <v>230</v>
      </c>
      <c r="AA350" s="85" t="s">
        <v>66</v>
      </c>
      <c r="AB350" s="176">
        <f>(AA337+AA338*X338/365)/365*0.67*X331*$R$6/100*$R$17*(1+$R$7)</f>
        <v>0.13191648259481767</v>
      </c>
      <c r="AC350" s="176">
        <f>(AA337+AA338*X338/365)/365*0.67*X331*$R$6/100*(365-$R$17)*(1+$R$7)</f>
        <v>0.13191648259481767</v>
      </c>
      <c r="AD350" s="141"/>
      <c r="AE350" s="65"/>
      <c r="AF350" s="320" t="s">
        <v>203</v>
      </c>
      <c r="AG350" s="476"/>
      <c r="AH350"/>
      <c r="AI350"/>
      <c r="AJ350"/>
      <c r="AK350"/>
      <c r="AL350" s="96" t="s">
        <v>230</v>
      </c>
      <c r="AM350" s="85" t="s">
        <v>66</v>
      </c>
      <c r="AN350" s="176">
        <f>(AM337+AM338*AJ338/365)/365*0.67*AJ331*$R$6/100*$R$17*(1+$R$7)</f>
        <v>0.11607282948439933</v>
      </c>
      <c r="AO350" s="176">
        <f>(AM337+AM338*AJ338/365)/365*0.67*AJ331*$R$6/100*(365-$R$17)*(1+$R$7)</f>
        <v>0.11607282948439933</v>
      </c>
      <c r="AP350" s="141"/>
      <c r="AQ350" s="65"/>
      <c r="AR350" s="474" t="s">
        <v>203</v>
      </c>
    </row>
    <row r="351" spans="21:44" x14ac:dyDescent="0.25">
      <c r="U351" s="275"/>
      <c r="Z351" s="96" t="s">
        <v>229</v>
      </c>
      <c r="AA351" s="85" t="s">
        <v>66</v>
      </c>
      <c r="AB351" s="176">
        <f>(AA340+AA341*X341/365)/365*0.67*X331*$R$6/100*$R$17*(1+$R$7)</f>
        <v>0.13846547799878123</v>
      </c>
      <c r="AC351" s="176">
        <f>(AA340+AA341*X341/365)/365*0.67*X331*$R$6/100*(365-$R$17)*(1+$R$7)</f>
        <v>0.13846547799878123</v>
      </c>
      <c r="AD351" s="141" t="s">
        <v>202</v>
      </c>
      <c r="AE351" s="65"/>
      <c r="AF351" s="320" t="s">
        <v>203</v>
      </c>
      <c r="AG351" s="476"/>
      <c r="AH351"/>
      <c r="AI351"/>
      <c r="AJ351"/>
      <c r="AK351"/>
      <c r="AL351" s="96" t="s">
        <v>229</v>
      </c>
      <c r="AM351" s="85" t="s">
        <v>66</v>
      </c>
      <c r="AN351" s="176">
        <f>(AM340+AM341*AJ341/365)/365*0.67*AJ331*$R$6/100*$R$17*(1+$R$7)</f>
        <v>0.20110144805753125</v>
      </c>
      <c r="AO351" s="176">
        <f>(AM340+AM341*AJ341/365)/365*0.67*AJ331*$R$6/100*(365-$R$17)*(1+$R$7)</f>
        <v>0.20110144805753125</v>
      </c>
      <c r="AP351" s="141" t="s">
        <v>202</v>
      </c>
      <c r="AQ351" s="65"/>
      <c r="AR351" s="474" t="s">
        <v>203</v>
      </c>
    </row>
    <row r="352" spans="21:44" x14ac:dyDescent="0.25">
      <c r="U352" s="275"/>
      <c r="Z352" s="96" t="s">
        <v>246</v>
      </c>
      <c r="AA352" s="85" t="s">
        <v>66</v>
      </c>
      <c r="AB352" s="258">
        <f>(AA337+AA338*X338/365)/365*0.67*X331*$R$6/100*$R$17*(1+$R$8*X343)</f>
        <v>0.32979120648704419</v>
      </c>
      <c r="AC352" s="258">
        <f>(AA337+AA338*X338/365)/365*0.67*X331*$R$6/100*(365-$R$17)*(1+$R$8*X343)</f>
        <v>0.32979120648704419</v>
      </c>
      <c r="AD352" s="141" t="s">
        <v>202</v>
      </c>
      <c r="AE352" s="65"/>
      <c r="AF352" s="320" t="s">
        <v>203</v>
      </c>
      <c r="AG352" s="476"/>
      <c r="AH352"/>
      <c r="AI352"/>
      <c r="AJ352"/>
      <c r="AK352"/>
      <c r="AL352" s="96" t="s">
        <v>246</v>
      </c>
      <c r="AM352" s="85" t="s">
        <v>66</v>
      </c>
      <c r="AN352" s="258">
        <f>(AM337+AM338*AJ338/365)/365*0.67*AJ331*$R$6/100*$R$17*(1+$R$8*AJ343)</f>
        <v>0.2901820737109983</v>
      </c>
      <c r="AO352" s="258">
        <f>(AM337+AM338*AJ338/365)/365*0.67*AJ331*$R$6/100*(365-$R$17)*(1+$R$8*AJ343)</f>
        <v>0.2901820737109983</v>
      </c>
      <c r="AP352" s="141" t="s">
        <v>202</v>
      </c>
      <c r="AQ352" s="65"/>
      <c r="AR352" s="474" t="s">
        <v>203</v>
      </c>
    </row>
    <row r="353" spans="21:44" x14ac:dyDescent="0.25">
      <c r="U353" s="275"/>
      <c r="Z353" s="96" t="s">
        <v>247</v>
      </c>
      <c r="AA353" s="85" t="s">
        <v>66</v>
      </c>
      <c r="AB353" s="202"/>
      <c r="AC353" s="202"/>
      <c r="AE353" s="65"/>
      <c r="AF353" s="320" t="s">
        <v>203</v>
      </c>
      <c r="AG353" s="476"/>
      <c r="AH353"/>
      <c r="AI353"/>
      <c r="AJ353"/>
      <c r="AK353"/>
      <c r="AL353" s="96" t="s">
        <v>247</v>
      </c>
      <c r="AM353" s="85" t="s">
        <v>66</v>
      </c>
      <c r="AN353" s="202"/>
      <c r="AO353" s="202"/>
      <c r="AP353" s="202"/>
      <c r="AQ353" s="65"/>
      <c r="AR353" s="474" t="s">
        <v>203</v>
      </c>
    </row>
    <row r="354" spans="21:44" x14ac:dyDescent="0.25">
      <c r="U354" s="275"/>
      <c r="Z354" s="96" t="s">
        <v>67</v>
      </c>
      <c r="AA354" s="85" t="s">
        <v>66</v>
      </c>
      <c r="AB354" s="176">
        <f>(_xlfn.AGGREGATE(9,6,AB337,AB338,AB340,AB341)/365)*0.67*X331*$R$9/100*$R$17</f>
        <v>9.5568741888128237</v>
      </c>
      <c r="AC354" s="176">
        <f>(_xlfn.AGGREGATE(9,6,AB337,AB338,AB340,AB341)/365)*0.67*X331*$R$9/100*(365-$R$17)</f>
        <v>9.5568741888128237</v>
      </c>
      <c r="AD354" s="141" t="s">
        <v>184</v>
      </c>
      <c r="AE354" s="65"/>
      <c r="AF354" s="320" t="s">
        <v>203</v>
      </c>
      <c r="AG354" s="476"/>
      <c r="AH354"/>
      <c r="AI354"/>
      <c r="AJ354"/>
      <c r="AK354"/>
      <c r="AL354" s="96" t="s">
        <v>67</v>
      </c>
      <c r="AM354" s="85" t="s">
        <v>66</v>
      </c>
      <c r="AN354" s="176">
        <f>(_xlfn.AGGREGATE(9,6,AN337,AN338,AN340,AN341)/365)*0.67*AJ331*$R$9/100*$R$17</f>
        <v>8.3162005490274655</v>
      </c>
      <c r="AO354" s="176">
        <f>(_xlfn.AGGREGATE(9,6,AN337,AN338,AN340,AN341)/365)*0.67*AJ331*$R$9/100*(365-$R$17)</f>
        <v>8.3162005490274655</v>
      </c>
      <c r="AP354" s="141" t="s">
        <v>184</v>
      </c>
      <c r="AQ354" s="65"/>
      <c r="AR354" s="474" t="s">
        <v>203</v>
      </c>
    </row>
    <row r="355" spans="21:44" x14ac:dyDescent="0.25">
      <c r="U355" s="275"/>
      <c r="Z355" s="21"/>
      <c r="AA355" s="5"/>
      <c r="AB355" s="5"/>
      <c r="AC355" s="5"/>
      <c r="AD355" s="204"/>
      <c r="AE355" s="125" t="s">
        <v>71</v>
      </c>
      <c r="AF355" s="320" t="s">
        <v>203</v>
      </c>
      <c r="AG355" s="476"/>
      <c r="AH355"/>
      <c r="AI355"/>
      <c r="AJ355"/>
      <c r="AK355"/>
      <c r="AL355" s="21"/>
      <c r="AM355" s="5"/>
      <c r="AN355" s="5"/>
      <c r="AO355" s="5"/>
      <c r="AP355" s="204"/>
      <c r="AQ355" s="125" t="s">
        <v>71</v>
      </c>
      <c r="AR355" s="474" t="s">
        <v>203</v>
      </c>
    </row>
    <row r="356" spans="21:44" x14ac:dyDescent="0.25">
      <c r="U356" s="275"/>
      <c r="Z356" s="97" t="s">
        <v>68</v>
      </c>
      <c r="AA356" s="85" t="s">
        <v>66</v>
      </c>
      <c r="AB356" s="93">
        <f xml:space="preserve"> _xlfn.AGGREGATE(9, 6, AB354:AC354, AB348:AC349,AB345)</f>
        <v>20.465658180593643</v>
      </c>
      <c r="AC356" s="176"/>
      <c r="AD356" s="141" t="s">
        <v>118</v>
      </c>
      <c r="AE356" s="65"/>
      <c r="AF356" s="320" t="s">
        <v>203</v>
      </c>
      <c r="AG356" s="476"/>
      <c r="AH356"/>
      <c r="AI356"/>
      <c r="AJ356"/>
      <c r="AK356"/>
      <c r="AL356" s="97" t="s">
        <v>68</v>
      </c>
      <c r="AM356" s="85" t="s">
        <v>66</v>
      </c>
      <c r="AN356" s="93">
        <f xml:space="preserve"> _xlfn.AGGREGATE(9, 6, AN354:AO354, AN348:AO349,AN345)</f>
        <v>18.218272485764583</v>
      </c>
      <c r="AO356" s="176"/>
      <c r="AP356" s="141" t="s">
        <v>118</v>
      </c>
      <c r="AQ356" s="65"/>
      <c r="AR356" s="474" t="s">
        <v>203</v>
      </c>
    </row>
    <row r="357" spans="21:44" x14ac:dyDescent="0.25">
      <c r="U357" s="275"/>
      <c r="Z357" s="97" t="s">
        <v>248</v>
      </c>
      <c r="AA357" s="85" t="s">
        <v>66</v>
      </c>
      <c r="AB357" s="259">
        <f xml:space="preserve"> _xlfn.AGGREGATE(9, 6, AB354:AC354, AB352:AC353,AB345,AB349:AC349)</f>
        <v>20.465658180593643</v>
      </c>
      <c r="AC357" s="85"/>
      <c r="AD357" s="141"/>
      <c r="AE357" s="65"/>
      <c r="AF357" s="320" t="s">
        <v>203</v>
      </c>
      <c r="AG357" s="476"/>
      <c r="AH357"/>
      <c r="AI357"/>
      <c r="AJ357"/>
      <c r="AK357"/>
      <c r="AL357" s="97" t="s">
        <v>248</v>
      </c>
      <c r="AM357" s="85" t="s">
        <v>66</v>
      </c>
      <c r="AN357" s="259">
        <f xml:space="preserve"> _xlfn.AGGREGATE(9, 6, AN354:AO354, AN352:AO353,AN345,AN349:AO349)</f>
        <v>18.218272485764583</v>
      </c>
      <c r="AO357" s="85"/>
      <c r="AP357" s="141"/>
      <c r="AQ357" s="65"/>
      <c r="AR357" s="474" t="s">
        <v>203</v>
      </c>
    </row>
    <row r="358" spans="21:44" x14ac:dyDescent="0.25">
      <c r="U358" s="275"/>
      <c r="Z358" s="54"/>
      <c r="AA358" s="55" t="s">
        <v>238</v>
      </c>
      <c r="AB358" s="14" t="s">
        <v>381</v>
      </c>
      <c r="AC358" s="15" t="s">
        <v>382</v>
      </c>
      <c r="AD358" s="141"/>
      <c r="AE358" s="65"/>
      <c r="AF358" s="320" t="s">
        <v>203</v>
      </c>
      <c r="AG358" s="476"/>
      <c r="AH358"/>
      <c r="AI358"/>
      <c r="AJ358"/>
      <c r="AK358"/>
      <c r="AL358" s="54"/>
      <c r="AM358" s="55" t="s">
        <v>238</v>
      </c>
      <c r="AN358" s="14" t="s">
        <v>381</v>
      </c>
      <c r="AO358" s="15" t="s">
        <v>382</v>
      </c>
      <c r="AP358" s="141"/>
      <c r="AQ358" s="65"/>
      <c r="AR358" s="474" t="s">
        <v>203</v>
      </c>
    </row>
    <row r="359" spans="21:44" x14ac:dyDescent="0.25">
      <c r="U359" s="275"/>
      <c r="Z359" s="52" t="s">
        <v>421</v>
      </c>
      <c r="AA359" s="333">
        <f>AB345</f>
        <v>0</v>
      </c>
      <c r="AB359" s="333">
        <f xml:space="preserve"> _xlfn.AGGREGATE(9, 6, AB354, AB352:AB353,AB349)</f>
        <v>10.232829090296821</v>
      </c>
      <c r="AC359" s="334">
        <f xml:space="preserve"> _xlfn.AGGREGATE(9, 6, AC354, AC352:AC353,AC349)</f>
        <v>10.232829090296821</v>
      </c>
      <c r="AD359" s="141"/>
      <c r="AE359" s="65"/>
      <c r="AF359" s="320" t="s">
        <v>203</v>
      </c>
      <c r="AG359" s="476"/>
      <c r="AH359"/>
      <c r="AI359"/>
      <c r="AJ359"/>
      <c r="AK359"/>
      <c r="AL359" s="52" t="s">
        <v>421</v>
      </c>
      <c r="AM359" s="333">
        <f>AN345</f>
        <v>0</v>
      </c>
      <c r="AN359" s="333">
        <f xml:space="preserve"> _xlfn.AGGREGATE(9, 6, AN354, AN352:AN353,AN349)</f>
        <v>9.1091362428822915</v>
      </c>
      <c r="AO359" s="334">
        <f xml:space="preserve"> _xlfn.AGGREGATE(9, 6, AO354, AO352:AO353,AO349)</f>
        <v>9.1091362428822915</v>
      </c>
      <c r="AP359" s="141"/>
      <c r="AQ359" s="65"/>
      <c r="AR359" s="474" t="s">
        <v>203</v>
      </c>
    </row>
    <row r="360" spans="21:44" x14ac:dyDescent="0.25">
      <c r="U360" s="275"/>
      <c r="Z360" s="97"/>
      <c r="AA360" s="85"/>
      <c r="AB360" s="85"/>
      <c r="AC360" s="85"/>
      <c r="AD360" s="141"/>
      <c r="AE360" s="65"/>
      <c r="AF360" s="320" t="s">
        <v>203</v>
      </c>
      <c r="AG360" s="476"/>
      <c r="AH360"/>
      <c r="AI360"/>
      <c r="AJ360"/>
      <c r="AK360"/>
      <c r="AL360" s="97"/>
      <c r="AM360" s="85"/>
      <c r="AN360" s="85"/>
      <c r="AO360" s="85"/>
      <c r="AP360" s="141"/>
      <c r="AQ360" s="65"/>
      <c r="AR360" s="474" t="s">
        <v>203</v>
      </c>
    </row>
    <row r="361" spans="21:44" x14ac:dyDescent="0.25">
      <c r="U361" s="275"/>
      <c r="Z361" s="96" t="s">
        <v>181</v>
      </c>
      <c r="AA361" s="85"/>
      <c r="AB361" s="176"/>
      <c r="AC361" s="176"/>
      <c r="AD361" s="141"/>
      <c r="AE361" s="65"/>
      <c r="AF361" s="320" t="s">
        <v>203</v>
      </c>
      <c r="AG361" s="476"/>
      <c r="AH361"/>
      <c r="AI361"/>
      <c r="AJ361"/>
      <c r="AK361"/>
      <c r="AL361" s="96" t="s">
        <v>181</v>
      </c>
      <c r="AM361" s="85"/>
      <c r="AN361" s="176"/>
      <c r="AO361" s="176"/>
      <c r="AP361" s="141"/>
      <c r="AQ361" s="65"/>
      <c r="AR361" s="474" t="s">
        <v>203</v>
      </c>
    </row>
    <row r="362" spans="21:44" x14ac:dyDescent="0.25">
      <c r="U362" s="275"/>
      <c r="Z362" s="96" t="s">
        <v>185</v>
      </c>
      <c r="AA362" s="84" t="s">
        <v>13</v>
      </c>
      <c r="AB362" s="176">
        <f>AB356*$R$14</f>
        <v>570.99186323856259</v>
      </c>
      <c r="AC362" s="176"/>
      <c r="AD362" s="141" t="s">
        <v>117</v>
      </c>
      <c r="AE362" s="65"/>
      <c r="AF362" s="320" t="s">
        <v>203</v>
      </c>
      <c r="AG362" s="476"/>
      <c r="AH362"/>
      <c r="AI362"/>
      <c r="AJ362"/>
      <c r="AK362"/>
      <c r="AL362" s="96" t="s">
        <v>185</v>
      </c>
      <c r="AM362" s="84" t="s">
        <v>13</v>
      </c>
      <c r="AN362" s="176">
        <f>AN356*$R$14</f>
        <v>508.28980235283183</v>
      </c>
      <c r="AO362" s="176"/>
      <c r="AP362" s="141" t="s">
        <v>117</v>
      </c>
      <c r="AQ362" s="65"/>
      <c r="AR362" s="474" t="s">
        <v>203</v>
      </c>
    </row>
    <row r="363" spans="21:44" x14ac:dyDescent="0.25">
      <c r="U363" s="275"/>
      <c r="Z363" s="96" t="s">
        <v>249</v>
      </c>
      <c r="AA363" s="84" t="s">
        <v>13</v>
      </c>
      <c r="AB363" s="258">
        <f>AB357*$R$14</f>
        <v>570.99186323856259</v>
      </c>
      <c r="AC363" s="176"/>
      <c r="AD363" s="141" t="s">
        <v>117</v>
      </c>
      <c r="AE363" s="65"/>
      <c r="AF363" s="320" t="s">
        <v>203</v>
      </c>
      <c r="AG363" s="476"/>
      <c r="AH363"/>
      <c r="AI363"/>
      <c r="AJ363"/>
      <c r="AK363"/>
      <c r="AL363" s="96" t="s">
        <v>249</v>
      </c>
      <c r="AM363" s="84" t="s">
        <v>13</v>
      </c>
      <c r="AN363" s="258">
        <f>AN357*$R$14</f>
        <v>508.28980235283183</v>
      </c>
      <c r="AO363" s="176"/>
      <c r="AP363" s="141" t="s">
        <v>117</v>
      </c>
      <c r="AQ363" s="65"/>
      <c r="AR363" s="474" t="s">
        <v>203</v>
      </c>
    </row>
    <row r="364" spans="21:44" x14ac:dyDescent="0.25">
      <c r="U364" s="275"/>
      <c r="Z364" s="25"/>
      <c r="AA364" s="55" t="s">
        <v>238</v>
      </c>
      <c r="AB364" s="14" t="s">
        <v>381</v>
      </c>
      <c r="AC364" s="15" t="s">
        <v>382</v>
      </c>
      <c r="AE364" s="18"/>
      <c r="AF364" s="320" t="s">
        <v>203</v>
      </c>
      <c r="AG364" s="476"/>
      <c r="AH364"/>
      <c r="AI364"/>
      <c r="AJ364"/>
      <c r="AK364"/>
      <c r="AL364" s="25"/>
      <c r="AM364" s="55" t="s">
        <v>238</v>
      </c>
      <c r="AN364" s="14" t="s">
        <v>381</v>
      </c>
      <c r="AO364" s="15" t="s">
        <v>382</v>
      </c>
      <c r="AP364" s="202"/>
      <c r="AQ364" s="18"/>
      <c r="AR364" s="474" t="s">
        <v>203</v>
      </c>
    </row>
    <row r="365" spans="21:44" x14ac:dyDescent="0.25">
      <c r="U365" s="275"/>
      <c r="Z365" s="29" t="s">
        <v>422</v>
      </c>
      <c r="AA365" s="333">
        <f>AA359*$R$14</f>
        <v>0</v>
      </c>
      <c r="AB365" s="333">
        <f>AB359*$R$14</f>
        <v>285.49593161928129</v>
      </c>
      <c r="AC365" s="334">
        <f>AC359*$R$14</f>
        <v>285.49593161928129</v>
      </c>
      <c r="AD365" s="335" t="s">
        <v>117</v>
      </c>
      <c r="AE365" s="23"/>
      <c r="AF365" s="320" t="s">
        <v>203</v>
      </c>
      <c r="AG365" s="476"/>
      <c r="AH365"/>
      <c r="AI365"/>
      <c r="AJ365"/>
      <c r="AK365"/>
      <c r="AL365" s="29" t="s">
        <v>422</v>
      </c>
      <c r="AM365" s="333">
        <f>AM359*$R$14</f>
        <v>0</v>
      </c>
      <c r="AN365" s="333">
        <f>AN359*$R$14</f>
        <v>254.14490117641591</v>
      </c>
      <c r="AO365" s="334">
        <f>AO359*$R$14</f>
        <v>254.14490117641591</v>
      </c>
      <c r="AP365" s="335" t="s">
        <v>117</v>
      </c>
      <c r="AQ365" s="23"/>
      <c r="AR365" s="474" t="s">
        <v>203</v>
      </c>
    </row>
    <row r="366" spans="21:44" x14ac:dyDescent="0.25">
      <c r="AF366" s="320" t="s">
        <v>203</v>
      </c>
      <c r="AG366"/>
      <c r="AH366"/>
      <c r="AI366"/>
      <c r="AJ366"/>
      <c r="AK366"/>
      <c r="AL366"/>
      <c r="AM366"/>
      <c r="AN366"/>
      <c r="AO366"/>
      <c r="AP366" s="202"/>
      <c r="AQ366"/>
      <c r="AR366" s="474" t="s">
        <v>203</v>
      </c>
    </row>
    <row r="367" spans="21:44" x14ac:dyDescent="0.25">
      <c r="U367" s="275"/>
      <c r="V367" s="670" t="s">
        <v>288</v>
      </c>
      <c r="AF367" s="320" t="s">
        <v>203</v>
      </c>
      <c r="AG367" s="476"/>
      <c r="AH367" s="670" t="s">
        <v>465</v>
      </c>
      <c r="AI367"/>
      <c r="AJ367"/>
      <c r="AK367"/>
      <c r="AL367"/>
      <c r="AM367"/>
      <c r="AN367"/>
      <c r="AO367"/>
      <c r="AP367" s="202"/>
      <c r="AQ367"/>
      <c r="AR367" s="474" t="s">
        <v>203</v>
      </c>
    </row>
    <row r="368" spans="21:44" x14ac:dyDescent="0.25">
      <c r="U368" s="275"/>
      <c r="W368" s="670" t="s">
        <v>65</v>
      </c>
      <c r="X368">
        <f>INDEX($Q$2:$S$3, 2,MATCH(W368,$Q$2:$S$2,0))</f>
        <v>0.18</v>
      </c>
      <c r="Y368" t="s">
        <v>63</v>
      </c>
      <c r="Z368" s="103"/>
      <c r="AA368" s="191"/>
      <c r="AB368" s="191"/>
      <c r="AC368" s="191"/>
      <c r="AD368" s="237"/>
      <c r="AE368" s="238"/>
      <c r="AF368" s="320" t="s">
        <v>203</v>
      </c>
      <c r="AG368" s="476"/>
      <c r="AH368"/>
      <c r="AI368" s="670" t="s">
        <v>65</v>
      </c>
      <c r="AJ368">
        <f>INDEX($Q$2:$S$3, 2,MATCH(AI368,$Q$2:$S$2,0))</f>
        <v>0.18</v>
      </c>
      <c r="AK368" t="s">
        <v>63</v>
      </c>
      <c r="AL368" s="103"/>
      <c r="AM368" s="191"/>
      <c r="AN368" s="191"/>
      <c r="AO368" s="191"/>
      <c r="AP368" s="237"/>
      <c r="AQ368" s="238"/>
      <c r="AR368" s="474" t="s">
        <v>203</v>
      </c>
    </row>
    <row r="369" spans="21:44" x14ac:dyDescent="0.25">
      <c r="U369" s="275"/>
      <c r="W369" s="108" t="s">
        <v>93</v>
      </c>
      <c r="X369" s="109"/>
      <c r="Z369" s="239" t="s">
        <v>231</v>
      </c>
      <c r="AA369" s="194"/>
      <c r="AB369" s="194"/>
      <c r="AC369" s="194"/>
      <c r="AD369" s="240"/>
      <c r="AE369" s="241"/>
      <c r="AF369" s="320" t="s">
        <v>203</v>
      </c>
      <c r="AG369" s="476"/>
      <c r="AH369"/>
      <c r="AI369" s="108" t="s">
        <v>93</v>
      </c>
      <c r="AJ369" s="109"/>
      <c r="AK369"/>
      <c r="AL369" s="239" t="s">
        <v>231</v>
      </c>
      <c r="AM369" s="194"/>
      <c r="AN369" s="194"/>
      <c r="AO369" s="194"/>
      <c r="AP369" s="240"/>
      <c r="AQ369" s="241"/>
      <c r="AR369" s="474" t="s">
        <v>203</v>
      </c>
    </row>
    <row r="370" spans="21:44" x14ac:dyDescent="0.25">
      <c r="U370" s="275"/>
      <c r="W370" s="110" t="s">
        <v>81</v>
      </c>
      <c r="X370" s="665">
        <v>0</v>
      </c>
      <c r="Z370" s="126"/>
      <c r="AA370" s="192"/>
      <c r="AB370" s="192"/>
      <c r="AC370" s="192"/>
      <c r="AD370" s="242"/>
      <c r="AE370" s="243"/>
      <c r="AF370" s="320" t="s">
        <v>203</v>
      </c>
      <c r="AG370" s="476"/>
      <c r="AH370"/>
      <c r="AI370" s="110" t="s">
        <v>81</v>
      </c>
      <c r="AJ370" s="665">
        <v>0</v>
      </c>
      <c r="AK370"/>
      <c r="AL370" s="126"/>
      <c r="AM370" s="192"/>
      <c r="AN370" s="192"/>
      <c r="AO370" s="192"/>
      <c r="AP370" s="242"/>
      <c r="AQ370" s="243"/>
      <c r="AR370" s="474" t="s">
        <v>203</v>
      </c>
    </row>
    <row r="371" spans="21:44" x14ac:dyDescent="0.25">
      <c r="U371" s="275"/>
      <c r="W371" s="228" t="s">
        <v>82</v>
      </c>
      <c r="X371" s="666">
        <v>0</v>
      </c>
      <c r="Z371" s="127"/>
      <c r="AA371" s="54" t="s">
        <v>5</v>
      </c>
      <c r="AB371" s="187" t="s">
        <v>6</v>
      </c>
      <c r="AC371" s="128"/>
      <c r="AD371" s="203"/>
      <c r="AE371" s="124"/>
      <c r="AF371" s="320" t="s">
        <v>203</v>
      </c>
      <c r="AG371" s="476"/>
      <c r="AH371"/>
      <c r="AI371" s="228" t="s">
        <v>82</v>
      </c>
      <c r="AJ371" s="666">
        <v>0</v>
      </c>
      <c r="AK371"/>
      <c r="AL371" s="127"/>
      <c r="AM371" s="54" t="s">
        <v>5</v>
      </c>
      <c r="AN371" s="187" t="s">
        <v>6</v>
      </c>
      <c r="AO371" s="128"/>
      <c r="AP371" s="203"/>
      <c r="AQ371" s="124"/>
      <c r="AR371" s="474" t="s">
        <v>203</v>
      </c>
    </row>
    <row r="372" spans="21:44" x14ac:dyDescent="0.25">
      <c r="U372" s="275"/>
      <c r="Z372" s="96" t="s">
        <v>145</v>
      </c>
      <c r="AA372" s="183">
        <f>INDEX(Normtal!$Q$3:$AC$551,MATCH('CH4_Gylle_Stald&amp;Lager'!V367,Normtal!$Q$3:$Q$551,0),9)*(X370/365)*(X371/24)</f>
        <v>0</v>
      </c>
      <c r="AB372" s="78"/>
      <c r="AC372" s="44"/>
      <c r="AD372" s="204" t="s">
        <v>147</v>
      </c>
      <c r="AE372" s="65"/>
      <c r="AF372" s="320" t="s">
        <v>203</v>
      </c>
      <c r="AG372" s="476"/>
      <c r="AH372"/>
      <c r="AI372"/>
      <c r="AJ372"/>
      <c r="AK372"/>
      <c r="AL372" s="96" t="s">
        <v>145</v>
      </c>
      <c r="AM372" s="183">
        <f>INDEX(Normtal!$Q$3:$AC$551,MATCH('CH4_Gylle_Stald&amp;Lager'!AH367,Normtal!$Q$3:$Q$551,0),9)*(AJ370/365)*(AJ371/24)</f>
        <v>0</v>
      </c>
      <c r="AN372" s="78"/>
      <c r="AO372" s="44"/>
      <c r="AP372" s="204" t="s">
        <v>147</v>
      </c>
      <c r="AQ372" s="65"/>
      <c r="AR372" s="474" t="s">
        <v>203</v>
      </c>
    </row>
    <row r="373" spans="21:44" x14ac:dyDescent="0.25">
      <c r="U373" s="275"/>
      <c r="V373" s="45"/>
      <c r="W373" s="229" t="s">
        <v>221</v>
      </c>
      <c r="X373" s="230"/>
      <c r="Z373" s="96"/>
      <c r="AA373" s="667" t="s">
        <v>293</v>
      </c>
      <c r="AB373" s="220" t="s">
        <v>210</v>
      </c>
      <c r="AC373" s="5"/>
      <c r="AD373" s="226"/>
      <c r="AE373" s="65"/>
      <c r="AF373" s="320" t="s">
        <v>203</v>
      </c>
      <c r="AG373" s="476"/>
      <c r="AH373" s="45"/>
      <c r="AI373" s="229" t="s">
        <v>221</v>
      </c>
      <c r="AJ373" s="230"/>
      <c r="AK373"/>
      <c r="AL373" s="96"/>
      <c r="AM373" s="667" t="s">
        <v>615</v>
      </c>
      <c r="AN373" s="220" t="s">
        <v>210</v>
      </c>
      <c r="AO373" s="5"/>
      <c r="AP373" s="226"/>
      <c r="AQ373" s="65"/>
      <c r="AR373" s="474" t="s">
        <v>203</v>
      </c>
    </row>
    <row r="374" spans="21:44" x14ac:dyDescent="0.25">
      <c r="U374" s="275"/>
      <c r="V374" s="5"/>
      <c r="W374" s="231" t="s">
        <v>224</v>
      </c>
      <c r="X374" s="669">
        <v>0.25</v>
      </c>
      <c r="Z374" s="97" t="s">
        <v>115</v>
      </c>
      <c r="AA374" s="183">
        <f>INDEX(Normtal!$Q$3:$AC$551,MATCH('CH4_Gylle_Stald&amp;Lager'!AA373,Normtal!$AA$3:$AA$551,0),9)*$X375/365</f>
        <v>62.796334055105348</v>
      </c>
      <c r="AB374" s="183" t="e">
        <f>INDEX(Normtal!$Q$3:$AC$551,MATCH('CH4_Gylle_Stald&amp;Lager'!AB373,Normtal!$AA$3:$AA$551,0),9)*$X375/365</f>
        <v>#N/A</v>
      </c>
      <c r="AC374" s="44"/>
      <c r="AD374" s="204"/>
      <c r="AE374" s="65"/>
      <c r="AF374" s="320" t="s">
        <v>203</v>
      </c>
      <c r="AG374" s="476"/>
      <c r="AH374" s="5"/>
      <c r="AI374" s="231" t="s">
        <v>224</v>
      </c>
      <c r="AJ374" s="669">
        <v>0.18</v>
      </c>
      <c r="AK374"/>
      <c r="AL374" s="97" t="s">
        <v>115</v>
      </c>
      <c r="AM374" s="183">
        <f>INDEX(Normtal!$Q$3:$AC$551,MATCH('CH4_Gylle_Stald&amp;Lager'!AM373,Normtal!$AA$3:$AA$551,0),9)*$AJ375/365</f>
        <v>49.590929468665983</v>
      </c>
      <c r="AN374" s="183" t="e">
        <f>INDEX(Normtal!$Q$3:$AC$551,MATCH('CH4_Gylle_Stald&amp;Lager'!AN373,Normtal!$AA$3:$AA$551,0),9)*$AJ375/365</f>
        <v>#N/A</v>
      </c>
      <c r="AO374" s="44"/>
      <c r="AP374" s="204"/>
      <c r="AQ374" s="65"/>
      <c r="AR374" s="474" t="s">
        <v>203</v>
      </c>
    </row>
    <row r="375" spans="21:44" x14ac:dyDescent="0.25">
      <c r="U375" s="275"/>
      <c r="W375" s="233" t="s">
        <v>223</v>
      </c>
      <c r="X375" s="583">
        <f>(365-X370*X371/24)*X374</f>
        <v>91.25</v>
      </c>
      <c r="Z375" s="97" t="s">
        <v>116</v>
      </c>
      <c r="AA375" s="183">
        <f>INDEX(Normtal!$Q$3:$AC$551,MATCH('CH4_Gylle_Stald&amp;Lager'!AA373,Normtal!$AA$3:$AA$551,0),7)*$X375/365</f>
        <v>22.1053125</v>
      </c>
      <c r="AB375" s="183" t="e">
        <f>INDEX(Normtal!$Q$3:$AC$551,MATCH('CH4_Gylle_Stald&amp;Lager'!AB373,Normtal!$AA$3:$AA$551,0),7)*$X375/365</f>
        <v>#N/A</v>
      </c>
      <c r="AC375" s="44"/>
      <c r="AD375" s="204"/>
      <c r="AE375" s="65"/>
      <c r="AF375" s="320" t="s">
        <v>203</v>
      </c>
      <c r="AG375" s="476"/>
      <c r="AH375"/>
      <c r="AI375" s="233" t="s">
        <v>223</v>
      </c>
      <c r="AJ375" s="583">
        <f>(365-AJ370*AJ371/24)*AJ374</f>
        <v>65.7</v>
      </c>
      <c r="AK375"/>
      <c r="AL375" s="97" t="s">
        <v>116</v>
      </c>
      <c r="AM375" s="183">
        <f>INDEX(Normtal!$Q$3:$AC$551,MATCH('CH4_Gylle_Stald&amp;Lager'!AM373,Normtal!$AA$3:$AA$551,0),7)*$AJ375/365</f>
        <v>10.610550000000002</v>
      </c>
      <c r="AN375" s="183" t="e">
        <f>INDEX(Normtal!$Q$3:$AC$551,MATCH('CH4_Gylle_Stald&amp;Lager'!AN373,Normtal!$AA$3:$AA$551,0),7)*$AJ375/365</f>
        <v>#N/A</v>
      </c>
      <c r="AO375" s="44"/>
      <c r="AP375" s="204"/>
      <c r="AQ375" s="65"/>
      <c r="AR375" s="474" t="s">
        <v>203</v>
      </c>
    </row>
    <row r="376" spans="21:44" x14ac:dyDescent="0.25">
      <c r="U376" s="275"/>
      <c r="W376" s="229" t="s">
        <v>222</v>
      </c>
      <c r="X376" s="230"/>
      <c r="Z376" s="225"/>
      <c r="AA376" s="667" t="s">
        <v>294</v>
      </c>
      <c r="AB376" s="667" t="s">
        <v>295</v>
      </c>
      <c r="AC376" s="5"/>
      <c r="AD376" s="227"/>
      <c r="AE376" s="65"/>
      <c r="AF376" s="320" t="s">
        <v>203</v>
      </c>
      <c r="AG376" s="476"/>
      <c r="AH376"/>
      <c r="AI376" s="229" t="s">
        <v>222</v>
      </c>
      <c r="AJ376" s="230"/>
      <c r="AK376"/>
      <c r="AL376" s="225"/>
      <c r="AM376" s="667" t="s">
        <v>616</v>
      </c>
      <c r="AN376" s="667" t="s">
        <v>617</v>
      </c>
      <c r="AO376" s="5"/>
      <c r="AP376" s="227"/>
      <c r="AQ376" s="65"/>
      <c r="AR376" s="474" t="s">
        <v>203</v>
      </c>
    </row>
    <row r="377" spans="21:44" x14ac:dyDescent="0.25">
      <c r="U377" s="275"/>
      <c r="W377" s="231" t="s">
        <v>224</v>
      </c>
      <c r="X377" s="232">
        <f>1-X374</f>
        <v>0.75</v>
      </c>
      <c r="Z377" s="97" t="s">
        <v>115</v>
      </c>
      <c r="AA377" s="183">
        <f>INDEX(Normtal!$Q$3:$AC$551,MATCH('CH4_Gylle_Stald&amp;Lager'!AA376,Normtal!$AA$3:$AA$551,0),9)*$X378/365</f>
        <v>75.355600866126423</v>
      </c>
      <c r="AB377" s="183">
        <f>INDEX(Normtal!$Q$3:$AC$551,MATCH('CH4_Gylle_Stald&amp;Lager'!AB376,Normtal!$AA$3:$AA$551,0),9)*$X378/365</f>
        <v>113.03340129918962</v>
      </c>
      <c r="AC377" s="44"/>
      <c r="AD377" s="204" t="s">
        <v>148</v>
      </c>
      <c r="AE377" s="65"/>
      <c r="AF377" s="320" t="s">
        <v>203</v>
      </c>
      <c r="AG377" s="476"/>
      <c r="AH377"/>
      <c r="AI377" s="231" t="s">
        <v>224</v>
      </c>
      <c r="AJ377" s="232">
        <f>1-AJ374</f>
        <v>0.82000000000000006</v>
      </c>
      <c r="AK377"/>
      <c r="AL377" s="97" t="s">
        <v>115</v>
      </c>
      <c r="AM377" s="183">
        <f>INDEX(Normtal!$Q$3:$AC$551,MATCH('CH4_Gylle_Stald&amp;Lager'!AM376,Normtal!$AA$3:$AA$551,0),9)*$AJ378/365</f>
        <v>90.365693698458045</v>
      </c>
      <c r="AN377" s="183">
        <f>INDEX(Normtal!$Q$3:$AC$551,MATCH('CH4_Gylle_Stald&amp;Lager'!AN376,Normtal!$AA$3:$AA$551,0),9)*$AJ378/365</f>
        <v>135.54854054768703</v>
      </c>
      <c r="AO377" s="44"/>
      <c r="AP377" s="204" t="s">
        <v>148</v>
      </c>
      <c r="AQ377" s="65"/>
      <c r="AR377" s="474" t="s">
        <v>203</v>
      </c>
    </row>
    <row r="378" spans="21:44" x14ac:dyDescent="0.25">
      <c r="U378" s="275"/>
      <c r="V378" s="5"/>
      <c r="W378" s="233" t="s">
        <v>81</v>
      </c>
      <c r="X378" s="234">
        <f>(365-X370*X371/24)*X377</f>
        <v>273.75</v>
      </c>
      <c r="Z378" s="97" t="s">
        <v>116</v>
      </c>
      <c r="AA378" s="222">
        <f>INDEX(Normtal!$Q$3:$AC$551,MATCH('CH4_Gylle_Stald&amp;Lager'!AA376,Normtal!$AA$3:$AA$551,0),7)*$X378/365</f>
        <v>0</v>
      </c>
      <c r="AB378" s="222">
        <f>INDEX(Normtal!$Q$3:$AC$551,MATCH('CH4_Gylle_Stald&amp;Lager'!AB376,Normtal!$AA$3:$AA$551,0),7)*$X378/365</f>
        <v>685.26468749999992</v>
      </c>
      <c r="AC378" s="44"/>
      <c r="AD378" s="141"/>
      <c r="AE378" s="65"/>
      <c r="AF378" s="320" t="s">
        <v>203</v>
      </c>
      <c r="AG378" s="476"/>
      <c r="AH378" s="5"/>
      <c r="AI378" s="233" t="s">
        <v>81</v>
      </c>
      <c r="AJ378" s="234">
        <f>(365-AJ370*AJ371/24)*AJ377</f>
        <v>299.3</v>
      </c>
      <c r="AK378"/>
      <c r="AL378" s="97" t="s">
        <v>116</v>
      </c>
      <c r="AM378" s="222">
        <f>INDEX(Normtal!$Q$3:$AC$551,MATCH('CH4_Gylle_Stald&amp;Lager'!AM376,Normtal!$AA$3:$AA$551,0),7)*$AJ378/365</f>
        <v>0</v>
      </c>
      <c r="AN378" s="222">
        <f>INDEX(Normtal!$Q$3:$AC$551,MATCH('CH4_Gylle_Stald&amp;Lager'!AN376,Normtal!$AA$3:$AA$551,0),7)*$AJ378/365</f>
        <v>555.87492499999996</v>
      </c>
      <c r="AO378" s="44"/>
      <c r="AP378" s="141"/>
      <c r="AQ378" s="65"/>
      <c r="AR378" s="474" t="s">
        <v>203</v>
      </c>
    </row>
    <row r="379" spans="21:44" x14ac:dyDescent="0.25">
      <c r="U379" s="275"/>
      <c r="Z379" s="235" t="s">
        <v>225</v>
      </c>
      <c r="AA379" s="90">
        <f>_xlfn.AGGREGATE(9,6,AA372:AB372,AA374:AB374,AA377:AB377)</f>
        <v>251.18533622042139</v>
      </c>
      <c r="AB379" s="267">
        <f>INDEX(Normtal!$Q$3:$AC$551,MATCH('CH4_Gylle_Stald&amp;Lager'!V367,Normtal!$Q$3:$Q$551,0),9)</f>
        <v>251.18533622042139</v>
      </c>
      <c r="AC379" s="44"/>
      <c r="AD379" s="141"/>
      <c r="AE379" s="65"/>
      <c r="AF379" s="320" t="s">
        <v>203</v>
      </c>
      <c r="AG379" s="476"/>
      <c r="AH379"/>
      <c r="AI379"/>
      <c r="AJ379"/>
      <c r="AK379"/>
      <c r="AL379" s="235" t="s">
        <v>225</v>
      </c>
      <c r="AM379" s="90">
        <f>_xlfn.AGGREGATE(9,6,AM372:AN372,AM374:AN374,AM377:AN377)</f>
        <v>275.50516371481103</v>
      </c>
      <c r="AN379" s="267">
        <f>INDEX(Normtal!$Q$3:$AC$551,MATCH('CH4_Gylle_Stald&amp;Lager'!AH367,Normtal!$Q$3:$Q$551,0),9)</f>
        <v>275.50516371481103</v>
      </c>
      <c r="AO379" s="44"/>
      <c r="AP379" s="141"/>
      <c r="AQ379" s="65"/>
      <c r="AR379" s="474" t="s">
        <v>203</v>
      </c>
    </row>
    <row r="380" spans="21:44" x14ac:dyDescent="0.25">
      <c r="U380" s="275"/>
      <c r="W380" s="257" t="s">
        <v>245</v>
      </c>
      <c r="X380" s="668">
        <v>0</v>
      </c>
      <c r="Z380" s="96"/>
      <c r="AA380" s="85"/>
      <c r="AB380" s="93"/>
      <c r="AC380" s="93"/>
      <c r="AD380" s="141"/>
      <c r="AE380" s="65"/>
      <c r="AF380" s="320" t="s">
        <v>203</v>
      </c>
      <c r="AG380" s="476"/>
      <c r="AH380"/>
      <c r="AI380" s="257" t="s">
        <v>245</v>
      </c>
      <c r="AJ380" s="668">
        <v>0</v>
      </c>
      <c r="AK380"/>
      <c r="AL380" s="96"/>
      <c r="AM380" s="85"/>
      <c r="AN380" s="93"/>
      <c r="AO380" s="93"/>
      <c r="AP380" s="141"/>
      <c r="AQ380" s="65"/>
      <c r="AR380" s="474" t="s">
        <v>203</v>
      </c>
    </row>
    <row r="381" spans="21:44" x14ac:dyDescent="0.25">
      <c r="U381" s="275"/>
      <c r="Z381" s="96" t="s">
        <v>84</v>
      </c>
      <c r="AA381" s="85"/>
      <c r="AB381" s="85"/>
      <c r="AC381" s="85"/>
      <c r="AD381" s="141"/>
      <c r="AE381" s="65"/>
      <c r="AF381" s="320" t="s">
        <v>203</v>
      </c>
      <c r="AG381" s="476"/>
      <c r="AH381"/>
      <c r="AI381"/>
      <c r="AJ381"/>
      <c r="AK381"/>
      <c r="AL381" s="96" t="s">
        <v>84</v>
      </c>
      <c r="AM381" s="85"/>
      <c r="AN381" s="85"/>
      <c r="AO381" s="85"/>
      <c r="AP381" s="141"/>
      <c r="AQ381" s="65"/>
      <c r="AR381" s="474" t="s">
        <v>203</v>
      </c>
    </row>
    <row r="382" spans="21:44" x14ac:dyDescent="0.25">
      <c r="U382" s="275"/>
      <c r="W382" s="77" t="s">
        <v>226</v>
      </c>
      <c r="X382" s="236">
        <f>X370*X371/24+X375+X378</f>
        <v>365</v>
      </c>
      <c r="Z382" s="97" t="s">
        <v>62</v>
      </c>
      <c r="AA382" s="85" t="s">
        <v>66</v>
      </c>
      <c r="AB382" s="176">
        <f>(AA372)*0.67*X368*$R$10/100</f>
        <v>0</v>
      </c>
      <c r="AC382" s="176"/>
      <c r="AD382" s="141" t="s">
        <v>146</v>
      </c>
      <c r="AE382" s="65"/>
      <c r="AF382" s="320" t="s">
        <v>203</v>
      </c>
      <c r="AG382" s="476"/>
      <c r="AH382"/>
      <c r="AI382" s="77" t="s">
        <v>226</v>
      </c>
      <c r="AJ382" s="236">
        <f>AJ370*AJ371/24+AJ375+AJ378</f>
        <v>365</v>
      </c>
      <c r="AK382"/>
      <c r="AL382" s="97" t="s">
        <v>62</v>
      </c>
      <c r="AM382" s="85" t="s">
        <v>66</v>
      </c>
      <c r="AN382" s="176">
        <f>(AM372)*0.67*AJ368*$R$10/100</f>
        <v>0</v>
      </c>
      <c r="AO382" s="176"/>
      <c r="AP382" s="141" t="s">
        <v>146</v>
      </c>
      <c r="AQ382" s="65"/>
      <c r="AR382" s="474" t="s">
        <v>203</v>
      </c>
    </row>
    <row r="383" spans="21:44" x14ac:dyDescent="0.25">
      <c r="U383" s="275"/>
      <c r="Z383" s="177"/>
      <c r="AA383" s="85"/>
      <c r="AB383" s="85"/>
      <c r="AC383" s="85"/>
      <c r="AD383" s="141"/>
      <c r="AE383" s="65"/>
      <c r="AF383" s="320" t="s">
        <v>203</v>
      </c>
      <c r="AG383" s="476"/>
      <c r="AH383"/>
      <c r="AI383"/>
      <c r="AJ383"/>
      <c r="AK383"/>
      <c r="AL383" s="177"/>
      <c r="AM383" s="85"/>
      <c r="AN383" s="85"/>
      <c r="AO383" s="85"/>
      <c r="AP383" s="141"/>
      <c r="AQ383" s="65"/>
      <c r="AR383" s="474" t="s">
        <v>203</v>
      </c>
    </row>
    <row r="384" spans="21:44" x14ac:dyDescent="0.25">
      <c r="U384" s="275"/>
      <c r="X384" s="244"/>
      <c r="Z384" s="96" t="s">
        <v>188</v>
      </c>
      <c r="AA384" s="85"/>
      <c r="AB384" s="85" t="s">
        <v>180</v>
      </c>
      <c r="AC384" s="85" t="s">
        <v>182</v>
      </c>
      <c r="AD384" s="141"/>
      <c r="AE384" s="65"/>
      <c r="AF384" s="320" t="s">
        <v>203</v>
      </c>
      <c r="AG384" s="476"/>
      <c r="AH384"/>
      <c r="AI384"/>
      <c r="AJ384" s="244"/>
      <c r="AK384"/>
      <c r="AL384" s="96" t="s">
        <v>188</v>
      </c>
      <c r="AM384" s="85"/>
      <c r="AN384" s="85" t="s">
        <v>180</v>
      </c>
      <c r="AO384" s="85" t="s">
        <v>182</v>
      </c>
      <c r="AP384" s="141"/>
      <c r="AQ384" s="65"/>
      <c r="AR384" s="474" t="s">
        <v>203</v>
      </c>
    </row>
    <row r="385" spans="21:44" x14ac:dyDescent="0.25">
      <c r="U385" s="275"/>
      <c r="X385" s="245"/>
      <c r="Z385" s="96" t="s">
        <v>227</v>
      </c>
      <c r="AA385" s="85" t="s">
        <v>66</v>
      </c>
      <c r="AB385" s="176">
        <f>(AA374+AA375*X375/365)/365*0.67*X368*$R$6/100*$R$17</f>
        <v>0.51086220965308371</v>
      </c>
      <c r="AC385" s="176">
        <f>(AA374+AA375*X375/365)/365*0.67*X368*$R$6/100*(365-$R$17)</f>
        <v>0.51086220965308371</v>
      </c>
      <c r="AD385" s="141"/>
      <c r="AE385" s="65"/>
      <c r="AF385" s="320" t="s">
        <v>203</v>
      </c>
      <c r="AG385" s="476"/>
      <c r="AH385"/>
      <c r="AI385"/>
      <c r="AJ385" s="245"/>
      <c r="AK385"/>
      <c r="AL385" s="96" t="s">
        <v>227</v>
      </c>
      <c r="AM385" s="85" t="s">
        <v>66</v>
      </c>
      <c r="AN385" s="176">
        <f>(AM374+AM375*AJ375/365)/365*0.67*AJ368*$R$6/100*$R$17</f>
        <v>0.38508199462590936</v>
      </c>
      <c r="AO385" s="176">
        <f>(AM374+AM375*AJ375/365)/365*0.67*AJ368*$R$6/100*(365-$R$17)</f>
        <v>0.38508199462590936</v>
      </c>
      <c r="AP385" s="141"/>
      <c r="AQ385" s="65"/>
      <c r="AR385" s="474" t="s">
        <v>203</v>
      </c>
    </row>
    <row r="386" spans="21:44" x14ac:dyDescent="0.25">
      <c r="U386" s="275"/>
      <c r="X386" s="245"/>
      <c r="Z386" s="96" t="s">
        <v>228</v>
      </c>
      <c r="AA386" s="85" t="s">
        <v>66</v>
      </c>
      <c r="AB386" s="176">
        <f>(AA377+AA378*X378/365)/365*0.67*X368*$R$6/100*$R$17</f>
        <v>0.56344889879620053</v>
      </c>
      <c r="AC386" s="176">
        <f>(AA377+AA378*X378/365)/365*0.67*X368*$R$6/100*(365-$R$17)</f>
        <v>0.56344889879620053</v>
      </c>
      <c r="AD386" s="141" t="s">
        <v>202</v>
      </c>
      <c r="AE386" s="65"/>
      <c r="AF386" s="320" t="s">
        <v>203</v>
      </c>
      <c r="AG386" s="476"/>
      <c r="AH386"/>
      <c r="AI386"/>
      <c r="AJ386" s="245"/>
      <c r="AK386"/>
      <c r="AL386" s="96" t="s">
        <v>228</v>
      </c>
      <c r="AM386" s="85" t="s">
        <v>66</v>
      </c>
      <c r="AN386" s="176">
        <f>(AM377+AM378*AJ378/365)/365*0.67*AJ368*$R$6/100*$R$17</f>
        <v>0.67568236492211042</v>
      </c>
      <c r="AO386" s="176">
        <f>(AM377+AM378*AJ378/365)/365*0.67*AJ368*$R$6/100*(365-$R$17)</f>
        <v>0.67568236492211042</v>
      </c>
      <c r="AP386" s="141" t="s">
        <v>202</v>
      </c>
      <c r="AQ386" s="65"/>
      <c r="AR386" s="474" t="s">
        <v>203</v>
      </c>
    </row>
    <row r="387" spans="21:44" x14ac:dyDescent="0.25">
      <c r="U387" s="275"/>
      <c r="Z387" s="96" t="s">
        <v>230</v>
      </c>
      <c r="AA387" s="85" t="s">
        <v>66</v>
      </c>
      <c r="AB387" s="176">
        <f>(AA374+AA375*X375/365)/365*0.67*X368*$R$6/100*$R$17*(1+$R$7)</f>
        <v>0.20434488386123351</v>
      </c>
      <c r="AC387" s="176">
        <f>(AA374+AA375*X375/365)/365*0.67*X368*$R$6/100*(365-$R$17)*(1+$R$7)</f>
        <v>0.20434488386123351</v>
      </c>
      <c r="AD387" s="141"/>
      <c r="AE387" s="65"/>
      <c r="AF387" s="320" t="s">
        <v>203</v>
      </c>
      <c r="AG387" s="476"/>
      <c r="AH387"/>
      <c r="AI387"/>
      <c r="AJ387"/>
      <c r="AK387"/>
      <c r="AL387" s="96" t="s">
        <v>230</v>
      </c>
      <c r="AM387" s="85" t="s">
        <v>66</v>
      </c>
      <c r="AN387" s="176">
        <f>(AM374+AM375*AJ375/365)/365*0.67*AJ368*$R$6/100*$R$17*(1+$R$7)</f>
        <v>0.15403279785036375</v>
      </c>
      <c r="AO387" s="176">
        <f>(AM374+AM375*AJ375/365)/365*0.67*AJ368*$R$6/100*(365-$R$17)*(1+$R$7)</f>
        <v>0.15403279785036375</v>
      </c>
      <c r="AP387" s="141"/>
      <c r="AQ387" s="65"/>
      <c r="AR387" s="474" t="s">
        <v>203</v>
      </c>
    </row>
    <row r="388" spans="21:44" x14ac:dyDescent="0.25">
      <c r="U388" s="275"/>
      <c r="Z388" s="96" t="s">
        <v>229</v>
      </c>
      <c r="AA388" s="85" t="s">
        <v>66</v>
      </c>
      <c r="AB388" s="176">
        <f>(AA377+AA378*X378/365)/365*0.67*X368*$R$6/100*$R$17*(1+$R$7)</f>
        <v>0.22537955951848021</v>
      </c>
      <c r="AC388" s="176">
        <f>(AA377+AA378*X378/365)/365*0.67*X368*$R$6/100*(365-$R$17)*(1+$R$7)</f>
        <v>0.22537955951848021</v>
      </c>
      <c r="AD388" s="141" t="s">
        <v>202</v>
      </c>
      <c r="AE388" s="65"/>
      <c r="AF388" s="320" t="s">
        <v>203</v>
      </c>
      <c r="AG388" s="476"/>
      <c r="AH388"/>
      <c r="AI388"/>
      <c r="AJ388"/>
      <c r="AK388"/>
      <c r="AL388" s="96" t="s">
        <v>229</v>
      </c>
      <c r="AM388" s="85" t="s">
        <v>66</v>
      </c>
      <c r="AN388" s="176">
        <f>(AM377+AM378*AJ378/365)/365*0.67*AJ368*$R$6/100*$R$17*(1+$R$7)</f>
        <v>0.27027294596884416</v>
      </c>
      <c r="AO388" s="176">
        <f>(AM377+AM378*AJ378/365)/365*0.67*AJ368*$R$6/100*(365-$R$17)*(1+$R$7)</f>
        <v>0.27027294596884416</v>
      </c>
      <c r="AP388" s="141" t="s">
        <v>202</v>
      </c>
      <c r="AQ388" s="65"/>
      <c r="AR388" s="474" t="s">
        <v>203</v>
      </c>
    </row>
    <row r="389" spans="21:44" x14ac:dyDescent="0.25">
      <c r="U389" s="275"/>
      <c r="Z389" s="96" t="s">
        <v>246</v>
      </c>
      <c r="AA389" s="85" t="s">
        <v>66</v>
      </c>
      <c r="AB389" s="258">
        <f>(AA374+AA375*X375/365)/365*0.67*X368*$R$6/100*$R$17*(1+$R$8*X380)</f>
        <v>0.51086220965308371</v>
      </c>
      <c r="AC389" s="258">
        <f>(AA374+AA375*X375/365)/365*0.67*X368*$R$6/100*(365-$R$17)*(1+$R$8*X380)</f>
        <v>0.51086220965308371</v>
      </c>
      <c r="AD389" s="141" t="s">
        <v>202</v>
      </c>
      <c r="AE389" s="65"/>
      <c r="AF389" s="320" t="s">
        <v>203</v>
      </c>
      <c r="AG389" s="476"/>
      <c r="AH389"/>
      <c r="AI389"/>
      <c r="AJ389"/>
      <c r="AK389"/>
      <c r="AL389" s="96" t="s">
        <v>246</v>
      </c>
      <c r="AM389" s="85" t="s">
        <v>66</v>
      </c>
      <c r="AN389" s="258">
        <f>(AM374+AM375*AJ375/365)/365*0.67*AJ368*$R$6/100*$R$17*(1+$R$8*AJ380)</f>
        <v>0.38508199462590936</v>
      </c>
      <c r="AO389" s="258">
        <f>(AM374+AM375*AJ375/365)/365*0.67*AJ368*$R$6/100*(365-$R$17)*(1+$R$8*AJ380)</f>
        <v>0.38508199462590936</v>
      </c>
      <c r="AP389" s="141" t="s">
        <v>202</v>
      </c>
      <c r="AQ389" s="65"/>
      <c r="AR389" s="474" t="s">
        <v>203</v>
      </c>
    </row>
    <row r="390" spans="21:44" x14ac:dyDescent="0.25">
      <c r="U390" s="275"/>
      <c r="Z390" s="96" t="s">
        <v>247</v>
      </c>
      <c r="AA390" s="85" t="s">
        <v>66</v>
      </c>
      <c r="AB390" s="202"/>
      <c r="AC390" s="202"/>
      <c r="AE390" s="65"/>
      <c r="AF390" s="320" t="s">
        <v>203</v>
      </c>
      <c r="AG390" s="476"/>
      <c r="AH390"/>
      <c r="AI390"/>
      <c r="AJ390"/>
      <c r="AK390"/>
      <c r="AL390" s="96" t="s">
        <v>247</v>
      </c>
      <c r="AM390" s="85" t="s">
        <v>66</v>
      </c>
      <c r="AN390" s="202"/>
      <c r="AO390" s="202"/>
      <c r="AP390" s="202"/>
      <c r="AQ390" s="65"/>
      <c r="AR390" s="474" t="s">
        <v>203</v>
      </c>
    </row>
    <row r="391" spans="21:44" x14ac:dyDescent="0.25">
      <c r="U391" s="275"/>
      <c r="Z391" s="96" t="s">
        <v>67</v>
      </c>
      <c r="AA391" s="85" t="s">
        <v>66</v>
      </c>
      <c r="AB391" s="176">
        <f>(_xlfn.AGGREGATE(9,6,AB374,AB375,AB377,AB378)/365)*0.67*X368*$R$9/100*$R$17</f>
        <v>10.108848698464136</v>
      </c>
      <c r="AC391" s="176">
        <f>(_xlfn.AGGREGATE(9,6,AB374,AB375,AB377,AB378)/365)*0.67*X368*$R$9/100*(365-$R$17)</f>
        <v>10.108848698464136</v>
      </c>
      <c r="AD391" s="141" t="s">
        <v>184</v>
      </c>
      <c r="AE391" s="65"/>
      <c r="AF391" s="320" t="s">
        <v>203</v>
      </c>
      <c r="AG391" s="476"/>
      <c r="AH391"/>
      <c r="AI391"/>
      <c r="AJ391"/>
      <c r="AK391"/>
      <c r="AL391" s="96" t="s">
        <v>67</v>
      </c>
      <c r="AM391" s="85" t="s">
        <v>66</v>
      </c>
      <c r="AN391" s="176">
        <f>(_xlfn.AGGREGATE(9,6,AN374,AN375,AN377,AN378)/365)*0.67*AJ368*$R$9/100*$R$17</f>
        <v>8.7554953442303596</v>
      </c>
      <c r="AO391" s="176">
        <f>(_xlfn.AGGREGATE(9,6,AN374,AN375,AN377,AN378)/365)*0.67*AJ368*$R$9/100*(365-$R$17)</f>
        <v>8.7554953442303596</v>
      </c>
      <c r="AP391" s="141" t="s">
        <v>184</v>
      </c>
      <c r="AQ391" s="65"/>
      <c r="AR391" s="474" t="s">
        <v>203</v>
      </c>
    </row>
    <row r="392" spans="21:44" x14ac:dyDescent="0.25">
      <c r="U392" s="275"/>
      <c r="Z392" s="21"/>
      <c r="AA392" s="5"/>
      <c r="AB392" s="5"/>
      <c r="AC392" s="5"/>
      <c r="AD392" s="204"/>
      <c r="AE392" s="125" t="s">
        <v>71</v>
      </c>
      <c r="AF392" s="320" t="s">
        <v>203</v>
      </c>
      <c r="AG392" s="476"/>
      <c r="AH392"/>
      <c r="AI392"/>
      <c r="AJ392"/>
      <c r="AK392"/>
      <c r="AL392" s="21"/>
      <c r="AM392" s="5"/>
      <c r="AN392" s="5"/>
      <c r="AO392" s="5"/>
      <c r="AP392" s="204"/>
      <c r="AQ392" s="125" t="s">
        <v>71</v>
      </c>
      <c r="AR392" s="474" t="s">
        <v>203</v>
      </c>
    </row>
    <row r="393" spans="21:44" x14ac:dyDescent="0.25">
      <c r="U393" s="275"/>
      <c r="Z393" s="97" t="s">
        <v>68</v>
      </c>
      <c r="AA393" s="85" t="s">
        <v>66</v>
      </c>
      <c r="AB393" s="93">
        <f xml:space="preserve"> _xlfn.AGGREGATE(9, 6, AB391:AC391, AB385:AC386,AB382)</f>
        <v>22.366319613826839</v>
      </c>
      <c r="AC393" s="176"/>
      <c r="AD393" s="141" t="s">
        <v>118</v>
      </c>
      <c r="AE393" s="65"/>
      <c r="AF393" s="320" t="s">
        <v>203</v>
      </c>
      <c r="AG393" s="476"/>
      <c r="AH393"/>
      <c r="AI393"/>
      <c r="AJ393"/>
      <c r="AK393"/>
      <c r="AL393" s="97" t="s">
        <v>68</v>
      </c>
      <c r="AM393" s="85" t="s">
        <v>66</v>
      </c>
      <c r="AN393" s="93">
        <f xml:space="preserve"> _xlfn.AGGREGATE(9, 6, AN391:AO391, AN385:AO386,AN382)</f>
        <v>19.63251940755676</v>
      </c>
      <c r="AO393" s="176"/>
      <c r="AP393" s="141" t="s">
        <v>118</v>
      </c>
      <c r="AQ393" s="65"/>
      <c r="AR393" s="474" t="s">
        <v>203</v>
      </c>
    </row>
    <row r="394" spans="21:44" x14ac:dyDescent="0.25">
      <c r="U394" s="275"/>
      <c r="Z394" s="97" t="s">
        <v>248</v>
      </c>
      <c r="AA394" s="85" t="s">
        <v>66</v>
      </c>
      <c r="AB394" s="259">
        <f xml:space="preserve"> _xlfn.AGGREGATE(9, 6, AB391:AC391, AB389:AC390,AB382,AB386:AC386)</f>
        <v>22.366319613826839</v>
      </c>
      <c r="AC394" s="85"/>
      <c r="AD394" s="141"/>
      <c r="AE394" s="65"/>
      <c r="AF394" s="320" t="s">
        <v>203</v>
      </c>
      <c r="AG394" s="476"/>
      <c r="AH394"/>
      <c r="AI394"/>
      <c r="AJ394"/>
      <c r="AK394"/>
      <c r="AL394" s="97" t="s">
        <v>248</v>
      </c>
      <c r="AM394" s="85" t="s">
        <v>66</v>
      </c>
      <c r="AN394" s="259">
        <f xml:space="preserve"> _xlfn.AGGREGATE(9, 6, AN391:AO391, AN389:AO390,AN382,AN386:AO386)</f>
        <v>19.63251940755676</v>
      </c>
      <c r="AO394" s="85"/>
      <c r="AP394" s="141"/>
      <c r="AQ394" s="65"/>
      <c r="AR394" s="474" t="s">
        <v>203</v>
      </c>
    </row>
    <row r="395" spans="21:44" x14ac:dyDescent="0.25">
      <c r="U395" s="275"/>
      <c r="Z395" s="54"/>
      <c r="AA395" s="55" t="s">
        <v>238</v>
      </c>
      <c r="AB395" s="14" t="s">
        <v>381</v>
      </c>
      <c r="AC395" s="15" t="s">
        <v>382</v>
      </c>
      <c r="AD395" s="141"/>
      <c r="AE395" s="65"/>
      <c r="AF395" s="320" t="s">
        <v>203</v>
      </c>
      <c r="AG395" s="476"/>
      <c r="AH395"/>
      <c r="AI395"/>
      <c r="AJ395"/>
      <c r="AK395"/>
      <c r="AL395" s="54"/>
      <c r="AM395" s="55" t="s">
        <v>238</v>
      </c>
      <c r="AN395" s="14" t="s">
        <v>381</v>
      </c>
      <c r="AO395" s="15" t="s">
        <v>382</v>
      </c>
      <c r="AP395" s="141"/>
      <c r="AQ395" s="65"/>
      <c r="AR395" s="474" t="s">
        <v>203</v>
      </c>
    </row>
    <row r="396" spans="21:44" x14ac:dyDescent="0.25">
      <c r="U396" s="275"/>
      <c r="Z396" s="52" t="s">
        <v>421</v>
      </c>
      <c r="AA396" s="333">
        <f>AB382</f>
        <v>0</v>
      </c>
      <c r="AB396" s="333">
        <f xml:space="preserve"> _xlfn.AGGREGATE(9, 6, AB391, AB389:AB390,AB386)</f>
        <v>11.183159806913421</v>
      </c>
      <c r="AC396" s="334">
        <f xml:space="preserve"> _xlfn.AGGREGATE(9, 6, AC391, AC389:AC390,AC386)</f>
        <v>11.183159806913421</v>
      </c>
      <c r="AD396" s="141"/>
      <c r="AE396" s="65"/>
      <c r="AF396" s="320" t="s">
        <v>203</v>
      </c>
      <c r="AG396" s="476"/>
      <c r="AH396"/>
      <c r="AI396"/>
      <c r="AJ396"/>
      <c r="AK396"/>
      <c r="AL396" s="52" t="s">
        <v>421</v>
      </c>
      <c r="AM396" s="333">
        <f>AN382</f>
        <v>0</v>
      </c>
      <c r="AN396" s="333">
        <f xml:space="preserve"> _xlfn.AGGREGATE(9, 6, AN391, AN389:AN390,AN386)</f>
        <v>9.8162597037783801</v>
      </c>
      <c r="AO396" s="334">
        <f xml:space="preserve"> _xlfn.AGGREGATE(9, 6, AO391, AO389:AO390,AO386)</f>
        <v>9.8162597037783801</v>
      </c>
      <c r="AP396" s="141"/>
      <c r="AQ396" s="65"/>
      <c r="AR396" s="474" t="s">
        <v>203</v>
      </c>
    </row>
    <row r="397" spans="21:44" x14ac:dyDescent="0.25">
      <c r="U397" s="275"/>
      <c r="Z397" s="97"/>
      <c r="AA397" s="85"/>
      <c r="AB397" s="85"/>
      <c r="AC397" s="85"/>
      <c r="AD397" s="141"/>
      <c r="AE397" s="65"/>
      <c r="AF397" s="320" t="s">
        <v>203</v>
      </c>
      <c r="AG397" s="476"/>
      <c r="AH397"/>
      <c r="AI397"/>
      <c r="AJ397"/>
      <c r="AK397"/>
      <c r="AL397" s="97"/>
      <c r="AM397" s="85"/>
      <c r="AN397" s="85"/>
      <c r="AO397" s="85"/>
      <c r="AP397" s="141"/>
      <c r="AQ397" s="65"/>
      <c r="AR397" s="474" t="s">
        <v>203</v>
      </c>
    </row>
    <row r="398" spans="21:44" x14ac:dyDescent="0.25">
      <c r="U398" s="275"/>
      <c r="Z398" s="96" t="s">
        <v>181</v>
      </c>
      <c r="AA398" s="85"/>
      <c r="AB398" s="176"/>
      <c r="AC398" s="176"/>
      <c r="AD398" s="141"/>
      <c r="AE398" s="65"/>
      <c r="AF398" s="320" t="s">
        <v>203</v>
      </c>
      <c r="AG398" s="476"/>
      <c r="AH398"/>
      <c r="AI398"/>
      <c r="AJ398"/>
      <c r="AK398"/>
      <c r="AL398" s="96" t="s">
        <v>181</v>
      </c>
      <c r="AM398" s="85"/>
      <c r="AN398" s="176"/>
      <c r="AO398" s="176"/>
      <c r="AP398" s="141"/>
      <c r="AQ398" s="65"/>
      <c r="AR398" s="474" t="s">
        <v>203</v>
      </c>
    </row>
    <row r="399" spans="21:44" x14ac:dyDescent="0.25">
      <c r="U399" s="275"/>
      <c r="Z399" s="96" t="s">
        <v>185</v>
      </c>
      <c r="AA399" s="84" t="s">
        <v>13</v>
      </c>
      <c r="AB399" s="176">
        <f>AB393*$R$14</f>
        <v>624.02031722576874</v>
      </c>
      <c r="AC399" s="176"/>
      <c r="AD399" s="141" t="s">
        <v>117</v>
      </c>
      <c r="AE399" s="65"/>
      <c r="AF399" s="320" t="s">
        <v>203</v>
      </c>
      <c r="AG399" s="476"/>
      <c r="AH399"/>
      <c r="AI399"/>
      <c r="AJ399"/>
      <c r="AK399"/>
      <c r="AL399" s="96" t="s">
        <v>185</v>
      </c>
      <c r="AM399" s="84" t="s">
        <v>13</v>
      </c>
      <c r="AN399" s="176">
        <f>AN393*$R$14</f>
        <v>547.7472914708336</v>
      </c>
      <c r="AO399" s="176"/>
      <c r="AP399" s="141" t="s">
        <v>117</v>
      </c>
      <c r="AQ399" s="65"/>
      <c r="AR399" s="474" t="s">
        <v>203</v>
      </c>
    </row>
    <row r="400" spans="21:44" x14ac:dyDescent="0.25">
      <c r="U400" s="275"/>
      <c r="Z400" s="96" t="s">
        <v>249</v>
      </c>
      <c r="AA400" s="84" t="s">
        <v>13</v>
      </c>
      <c r="AB400" s="258">
        <f>AB394*$R$14</f>
        <v>624.02031722576874</v>
      </c>
      <c r="AC400" s="176"/>
      <c r="AD400" s="141" t="s">
        <v>117</v>
      </c>
      <c r="AE400" s="65"/>
      <c r="AF400" s="320" t="s">
        <v>203</v>
      </c>
      <c r="AG400" s="476"/>
      <c r="AH400"/>
      <c r="AI400"/>
      <c r="AJ400"/>
      <c r="AK400"/>
      <c r="AL400" s="96" t="s">
        <v>249</v>
      </c>
      <c r="AM400" s="84" t="s">
        <v>13</v>
      </c>
      <c r="AN400" s="258">
        <f>AN394*$R$14</f>
        <v>547.7472914708336</v>
      </c>
      <c r="AO400" s="176"/>
      <c r="AP400" s="141" t="s">
        <v>117</v>
      </c>
      <c r="AQ400" s="65"/>
      <c r="AR400" s="474" t="s">
        <v>203</v>
      </c>
    </row>
    <row r="401" spans="21:44" x14ac:dyDescent="0.25">
      <c r="U401" s="275"/>
      <c r="Z401" s="25"/>
      <c r="AA401" s="55" t="s">
        <v>238</v>
      </c>
      <c r="AB401" s="14" t="s">
        <v>381</v>
      </c>
      <c r="AC401" s="15" t="s">
        <v>382</v>
      </c>
      <c r="AE401" s="18"/>
      <c r="AF401" s="320" t="s">
        <v>203</v>
      </c>
      <c r="AG401" s="476"/>
      <c r="AH401"/>
      <c r="AI401"/>
      <c r="AJ401"/>
      <c r="AK401"/>
      <c r="AL401" s="25"/>
      <c r="AM401" s="55" t="s">
        <v>238</v>
      </c>
      <c r="AN401" s="14" t="s">
        <v>381</v>
      </c>
      <c r="AO401" s="15" t="s">
        <v>382</v>
      </c>
      <c r="AP401" s="202"/>
      <c r="AQ401" s="18"/>
      <c r="AR401" s="474" t="s">
        <v>203</v>
      </c>
    </row>
    <row r="402" spans="21:44" x14ac:dyDescent="0.25">
      <c r="U402" s="275"/>
      <c r="Z402" s="29" t="s">
        <v>422</v>
      </c>
      <c r="AA402" s="333">
        <f>AA396*$R$14</f>
        <v>0</v>
      </c>
      <c r="AB402" s="333">
        <f>AB396*$R$14</f>
        <v>312.01015861288442</v>
      </c>
      <c r="AC402" s="334">
        <f>AC396*$R$14</f>
        <v>312.01015861288442</v>
      </c>
      <c r="AD402" s="335" t="s">
        <v>117</v>
      </c>
      <c r="AE402" s="23"/>
      <c r="AF402" s="320" t="s">
        <v>203</v>
      </c>
      <c r="AG402" s="476"/>
      <c r="AH402"/>
      <c r="AI402"/>
      <c r="AJ402"/>
      <c r="AK402"/>
      <c r="AL402" s="29" t="s">
        <v>422</v>
      </c>
      <c r="AM402" s="333">
        <f>AM396*$R$14</f>
        <v>0</v>
      </c>
      <c r="AN402" s="333">
        <f>AN396*$R$14</f>
        <v>273.8736457354168</v>
      </c>
      <c r="AO402" s="334">
        <f>AO396*$R$14</f>
        <v>273.8736457354168</v>
      </c>
      <c r="AP402" s="335" t="s">
        <v>117</v>
      </c>
      <c r="AQ402" s="23"/>
      <c r="AR402" s="474" t="s">
        <v>203</v>
      </c>
    </row>
    <row r="403" spans="21:44" x14ac:dyDescent="0.25">
      <c r="AF403" s="320" t="s">
        <v>203</v>
      </c>
      <c r="AG403"/>
      <c r="AH403"/>
      <c r="AI403"/>
      <c r="AJ403"/>
      <c r="AK403"/>
      <c r="AL403"/>
      <c r="AM403"/>
      <c r="AN403"/>
      <c r="AO403"/>
      <c r="AP403" s="202"/>
      <c r="AQ403"/>
      <c r="AR403" s="474" t="s">
        <v>203</v>
      </c>
    </row>
  </sheetData>
  <sheetProtection algorithmName="SHA-512" hashValue="3gSA6eWQG50gxA+96EnW7jUkabAoqsNoFO98Oykz4YRtv8Uz3XR+IDf631SraeC+yA6ggASlzLhjDQByh2VAsA==" saltValue="3JauCo/M/GDABuRg4jiejg==" spinCount="100000" sheet="1" objects="1" scenarios="1"/>
  <mergeCells count="1">
    <mergeCell ref="AV36:AW36"/>
  </mergeCells>
  <phoneticPr fontId="17" type="noConversion"/>
  <conditionalFormatting sqref="B2:U30">
    <cfRule type="cellIs" dxfId="2" priority="1" operator="equal">
      <formula>0</formula>
    </cfRule>
  </conditionalFormatting>
  <dataValidations disablePrompts="1" count="1">
    <dataValidation type="list" allowBlank="1" showInputMessage="1" showErrorMessage="1" sqref="W35 W72 W109 W146 W183 W220 W257 W294 W331 W368 AI35 AI72 AI109 AI146 AI183 AI220 AI257 AI294 AI331 AI368" xr:uid="{48436BCD-D51C-4832-94CA-7A4F0C2EF1D4}">
      <formula1>$R$2:$S$2</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sheetPr>
  <dimension ref="A1:BK576"/>
  <sheetViews>
    <sheetView tabSelected="1" topLeftCell="A13" zoomScale="55" zoomScaleNormal="55" workbookViewId="0">
      <selection activeCell="N64" sqref="N64"/>
    </sheetView>
  </sheetViews>
  <sheetFormatPr defaultColWidth="8.85546875" defaultRowHeight="15" outlineLevelRow="1" x14ac:dyDescent="0.25"/>
  <cols>
    <col min="1" max="1" width="8.85546875" style="56"/>
    <col min="2" max="2" width="33.85546875" style="56" customWidth="1"/>
    <col min="3" max="4" width="8.85546875" style="56"/>
    <col min="5" max="5" width="67.7109375" style="56" customWidth="1"/>
    <col min="6" max="6" width="32.28515625" style="56" customWidth="1"/>
    <col min="7" max="7" width="25.7109375" style="56" customWidth="1"/>
    <col min="8" max="8" width="30.140625" style="56" customWidth="1"/>
    <col min="9" max="9" width="28.140625" style="56" customWidth="1"/>
    <col min="10" max="10" width="19.7109375" style="56" bestFit="1" customWidth="1"/>
    <col min="11" max="11" width="13.28515625" style="56" customWidth="1"/>
    <col min="12" max="12" width="26.85546875" style="56" customWidth="1"/>
    <col min="13" max="13" width="13.42578125" style="56" customWidth="1"/>
    <col min="14" max="14" width="11.5703125" style="56" customWidth="1"/>
    <col min="15" max="15" width="13.7109375" style="56" customWidth="1"/>
    <col min="16" max="16" width="10.28515625" style="56" customWidth="1"/>
    <col min="17" max="17" width="37.7109375" style="56" customWidth="1"/>
    <col min="18" max="18" width="12.28515625" style="56" customWidth="1"/>
    <col min="19" max="19" width="17" style="56" customWidth="1"/>
    <col min="20" max="20" width="52.42578125" style="56" customWidth="1"/>
    <col min="21" max="21" width="20.42578125" style="56" customWidth="1"/>
    <col min="22" max="22" width="9.28515625" style="56" customWidth="1"/>
    <col min="23" max="23" width="30.42578125" style="56" customWidth="1"/>
    <col min="24" max="24" width="11.140625" style="56" customWidth="1"/>
    <col min="25" max="25" width="13" style="56" customWidth="1"/>
    <col min="26" max="26" width="7" style="56" customWidth="1"/>
    <col min="27" max="27" width="8.85546875" style="56"/>
    <col min="28" max="28" width="7.5703125" style="56" customWidth="1"/>
    <col min="29" max="29" width="8.85546875" style="56" customWidth="1"/>
    <col min="30" max="30" width="33.85546875" style="56" customWidth="1"/>
    <col min="31" max="31" width="10.140625" style="56" customWidth="1"/>
    <col min="32" max="32" width="10.28515625" style="56" customWidth="1"/>
    <col min="33" max="33" width="67.7109375" style="56" customWidth="1"/>
    <col min="34" max="36" width="32.28515625" style="56" customWidth="1"/>
    <col min="37" max="37" width="28.140625" style="56" customWidth="1"/>
    <col min="38" max="39" width="8.85546875" style="56"/>
    <col min="40" max="40" width="27.42578125" style="56" customWidth="1"/>
    <col min="41" max="41" width="7" style="56" bestFit="1" customWidth="1"/>
    <col min="42" max="42" width="12.7109375" style="56" bestFit="1" customWidth="1"/>
    <col min="43" max="44" width="8.85546875" style="56"/>
    <col min="45" max="45" width="37.7109375" style="56" customWidth="1"/>
    <col min="46" max="47" width="8.85546875" style="56"/>
    <col min="48" max="48" width="52.42578125" style="56" customWidth="1"/>
    <col min="49" max="50" width="8.85546875" style="56"/>
    <col min="51" max="51" width="26.5703125" style="56" customWidth="1"/>
    <col min="52" max="57" width="8.85546875" style="56"/>
    <col min="58" max="58" width="56.7109375" style="56" customWidth="1"/>
    <col min="59" max="59" width="11" style="56" customWidth="1"/>
    <col min="60" max="60" width="9.85546875" style="56" bestFit="1" customWidth="1"/>
    <col min="61" max="61" width="16.140625" style="56" bestFit="1" customWidth="1"/>
    <col min="62" max="62" width="29.28515625" style="56" bestFit="1" customWidth="1"/>
    <col min="63" max="16384" width="8.85546875" style="56"/>
  </cols>
  <sheetData>
    <row r="1" spans="2:24" outlineLevel="1" x14ac:dyDescent="0.25">
      <c r="E1" s="91">
        <v>1</v>
      </c>
      <c r="F1" s="91">
        <v>2</v>
      </c>
      <c r="G1" s="91">
        <v>3</v>
      </c>
      <c r="H1" s="91">
        <v>4</v>
      </c>
      <c r="I1" s="91">
        <v>5</v>
      </c>
      <c r="J1" s="91">
        <v>6</v>
      </c>
      <c r="K1" s="91">
        <v>7</v>
      </c>
      <c r="L1" s="91">
        <v>8</v>
      </c>
      <c r="M1" s="91">
        <v>9</v>
      </c>
      <c r="N1" s="91">
        <v>10</v>
      </c>
      <c r="O1" s="91">
        <v>11</v>
      </c>
      <c r="P1" s="91">
        <v>12</v>
      </c>
      <c r="Q1" s="91">
        <v>13</v>
      </c>
      <c r="R1" s="91">
        <v>14</v>
      </c>
      <c r="S1" s="91">
        <v>15</v>
      </c>
      <c r="T1" s="91">
        <v>16</v>
      </c>
      <c r="U1" s="91">
        <v>17</v>
      </c>
      <c r="V1" s="91">
        <v>18</v>
      </c>
      <c r="W1" s="91">
        <v>19</v>
      </c>
      <c r="X1" s="91">
        <v>20</v>
      </c>
    </row>
    <row r="2" spans="2:24" outlineLevel="1" x14ac:dyDescent="0.25">
      <c r="B2" s="91"/>
      <c r="C2" s="91"/>
      <c r="D2" s="91">
        <v>1</v>
      </c>
      <c r="E2" s="118" t="str">
        <f t="array" ref="E2:X30">EF!B2:U30</f>
        <v>Staldtype</v>
      </c>
      <c r="F2" s="119" t="str">
        <v>Gødningsfordeling</v>
      </c>
      <c r="G2" s="119" t="str">
        <v>direct N2O-N, % af N</v>
      </c>
      <c r="H2" s="119" t="str">
        <v>direct N2O-N, % af N</v>
      </c>
      <c r="I2" s="119" t="str">
        <v>Reference</v>
      </c>
      <c r="J2" s="119" t="str">
        <v>NH3, % af TAN ab dyr</v>
      </c>
      <c r="K2" s="119" t="str">
        <v>NH3, % af total-N ab dyr</v>
      </c>
      <c r="L2" s="119" t="str">
        <v>Reference</v>
      </c>
      <c r="M2" s="119" t="str">
        <v>Nox, % af N</v>
      </c>
      <c r="N2" s="119" t="str">
        <v>Nox, % af N</v>
      </c>
      <c r="O2" s="119" t="str">
        <v>Reference</v>
      </c>
      <c r="P2" s="119" t="str">
        <v>N2, % af N</v>
      </c>
      <c r="Q2" s="119" t="str">
        <v>N2, % af N</v>
      </c>
      <c r="R2" s="119" t="str">
        <v>Reference</v>
      </c>
      <c r="S2" s="119">
        <v>0</v>
      </c>
      <c r="T2" s="119" t="str">
        <v>Faktorer</v>
      </c>
      <c r="U2" s="119" t="str">
        <v>Malkekøer</v>
      </c>
      <c r="V2" s="119" t="str">
        <v>Andre kvæg</v>
      </c>
      <c r="W2" s="119" t="str">
        <v>Reference</v>
      </c>
      <c r="X2" s="124">
        <v>0</v>
      </c>
    </row>
    <row r="3" spans="2:24" outlineLevel="1" x14ac:dyDescent="0.25">
      <c r="B3" s="91"/>
      <c r="C3" s="91"/>
      <c r="D3" s="91">
        <v>2</v>
      </c>
      <c r="E3" s="66">
        <v>0</v>
      </c>
      <c r="F3" s="44">
        <v>0</v>
      </c>
      <c r="G3" s="44" t="str">
        <v>Gylle</v>
      </c>
      <c r="H3" s="44" t="str">
        <v>Dybstrøelse, no mixing</v>
      </c>
      <c r="I3" s="44">
        <v>0</v>
      </c>
      <c r="J3" s="44" t="str">
        <v>Gylle</v>
      </c>
      <c r="K3" s="44" t="str">
        <v>Dybstrøelse</v>
      </c>
      <c r="L3" s="44">
        <v>0</v>
      </c>
      <c r="M3" s="44" t="str">
        <v>Gylle</v>
      </c>
      <c r="N3" s="44" t="str">
        <v>Dybstrøelse</v>
      </c>
      <c r="O3" s="44">
        <v>0</v>
      </c>
      <c r="P3" s="44" t="str">
        <v>Gylle</v>
      </c>
      <c r="Q3" s="44" t="str">
        <v>Dybstrøelse</v>
      </c>
      <c r="R3" s="44">
        <v>0</v>
      </c>
      <c r="S3" s="44">
        <v>0</v>
      </c>
      <c r="T3" s="44" t="str">
        <v>B0</v>
      </c>
      <c r="U3" s="44">
        <v>0.24</v>
      </c>
      <c r="V3" s="44">
        <v>0.18</v>
      </c>
      <c r="W3" s="44" t="str">
        <v>IPCC, 2019 - TABLE 10.16</v>
      </c>
      <c r="X3" s="65">
        <v>0</v>
      </c>
    </row>
    <row r="4" spans="2:24" outlineLevel="1" x14ac:dyDescent="0.25">
      <c r="B4" s="91"/>
      <c r="C4" s="91"/>
      <c r="D4" s="91">
        <v>3</v>
      </c>
      <c r="E4" s="66" t="str">
        <v>Bindestald med grebning</v>
      </c>
      <c r="F4" s="44" t="str">
        <v>60 % Fast gødning - 40 % ajle</v>
      </c>
      <c r="G4" s="44">
        <v>0.2</v>
      </c>
      <c r="H4" s="44">
        <v>1</v>
      </c>
      <c r="I4" s="44" t="str">
        <v>IPCC, 2019 - TABLE 10.21 , EF3</v>
      </c>
      <c r="J4" s="44">
        <v>10</v>
      </c>
      <c r="K4" s="44">
        <v>0</v>
      </c>
      <c r="L4" s="44">
        <v>0</v>
      </c>
      <c r="M4" s="44">
        <v>0</v>
      </c>
      <c r="N4" s="44">
        <v>0</v>
      </c>
      <c r="O4" s="44">
        <v>0</v>
      </c>
      <c r="P4" s="44">
        <v>0</v>
      </c>
      <c r="Q4" s="44">
        <v>0</v>
      </c>
      <c r="R4" s="44">
        <v>0</v>
      </c>
      <c r="S4" s="44">
        <v>0</v>
      </c>
      <c r="T4" s="44">
        <v>0</v>
      </c>
      <c r="U4" s="44">
        <v>0</v>
      </c>
      <c r="V4" s="44">
        <v>0</v>
      </c>
      <c r="W4" s="44">
        <v>0</v>
      </c>
      <c r="X4" s="65">
        <v>0</v>
      </c>
    </row>
    <row r="5" spans="2:24" outlineLevel="1" x14ac:dyDescent="0.25">
      <c r="B5" s="91"/>
      <c r="C5" s="91"/>
      <c r="D5" s="91">
        <v>4</v>
      </c>
      <c r="E5" s="66" t="str">
        <v xml:space="preserve">Bindestald med riste </v>
      </c>
      <c r="F5" s="44" t="str">
        <v>100% gyllesystem</v>
      </c>
      <c r="G5" s="44">
        <v>0.2</v>
      </c>
      <c r="H5" s="44">
        <v>0</v>
      </c>
      <c r="I5" s="44" t="str">
        <v>IPCC, 2019 - TABLE 10.21, EF3</v>
      </c>
      <c r="J5" s="44">
        <v>6</v>
      </c>
      <c r="K5" s="44">
        <v>0</v>
      </c>
      <c r="L5" s="44" t="str">
        <v>Normtal, AU</v>
      </c>
      <c r="M5" s="44">
        <v>0.2</v>
      </c>
      <c r="N5" s="44">
        <v>0</v>
      </c>
      <c r="O5" s="44" t="str">
        <v>Dammgen &amp; Hutchings, 2008</v>
      </c>
      <c r="P5" s="44">
        <v>0.6</v>
      </c>
      <c r="Q5" s="44">
        <v>0</v>
      </c>
      <c r="R5" s="44" t="str">
        <v>Vinther, F.P, 2005</v>
      </c>
      <c r="S5" s="44">
        <v>0</v>
      </c>
      <c r="T5" s="44">
        <v>0</v>
      </c>
      <c r="U5" s="44" t="str">
        <v>MCF %</v>
      </c>
      <c r="V5" s="44">
        <v>0</v>
      </c>
      <c r="W5" s="44" t="str">
        <v>Reference</v>
      </c>
      <c r="X5" s="65">
        <v>0</v>
      </c>
    </row>
    <row r="6" spans="2:24" outlineLevel="1" x14ac:dyDescent="0.25">
      <c r="B6" s="91"/>
      <c r="C6" s="91"/>
      <c r="D6" s="91">
        <v>5</v>
      </c>
      <c r="E6" s="66" t="str">
        <v>Sengestald med spalter (kanal, linespil)</v>
      </c>
      <c r="F6" s="44" t="str">
        <v>100% gyllesystem</v>
      </c>
      <c r="G6" s="44">
        <v>0.2</v>
      </c>
      <c r="H6" s="44">
        <v>0</v>
      </c>
      <c r="I6" s="44" t="str">
        <v>IPCC, 2019 - TABLE 10.21, EF3</v>
      </c>
      <c r="J6" s="44">
        <v>12</v>
      </c>
      <c r="K6" s="44">
        <v>0</v>
      </c>
      <c r="L6" s="44" t="str">
        <v>Normtal, AU</v>
      </c>
      <c r="M6" s="44">
        <v>0.2</v>
      </c>
      <c r="N6" s="44">
        <v>0</v>
      </c>
      <c r="O6" s="44" t="str">
        <v>Dammgen &amp; Hutchings, 2008</v>
      </c>
      <c r="P6" s="44">
        <v>0.6</v>
      </c>
      <c r="Q6" s="44">
        <v>0</v>
      </c>
      <c r="R6" s="44" t="str">
        <v>Vinther, F.P, 2005</v>
      </c>
      <c r="S6" s="44">
        <v>0</v>
      </c>
      <c r="T6" s="44" t="str">
        <v xml:space="preserve">Gylle </v>
      </c>
      <c r="U6" s="44">
        <v>12.4</v>
      </c>
      <c r="V6" s="44">
        <v>0</v>
      </c>
      <c r="W6" s="44" t="str">
        <v>Nielsen et al. 2020</v>
      </c>
      <c r="X6" s="65">
        <v>0</v>
      </c>
    </row>
    <row r="7" spans="2:24" outlineLevel="1" x14ac:dyDescent="0.25">
      <c r="B7" s="91"/>
      <c r="C7" s="91"/>
      <c r="D7" s="91">
        <v>6</v>
      </c>
      <c r="E7" s="66" t="str">
        <v>Sengestald med spalter (kanal, bagskyl eller ringkanal)</v>
      </c>
      <c r="F7" s="44" t="str">
        <v>100% gyllesystem</v>
      </c>
      <c r="G7" s="44">
        <v>0.2</v>
      </c>
      <c r="H7" s="44">
        <v>0</v>
      </c>
      <c r="I7" s="44" t="str">
        <v>IPCC, 2019 - TABLE 10.21, EF3</v>
      </c>
      <c r="J7" s="44">
        <v>13.5</v>
      </c>
      <c r="K7" s="44">
        <v>0</v>
      </c>
      <c r="L7" s="44" t="str">
        <v>Normtal, AU</v>
      </c>
      <c r="M7" s="44">
        <v>0.2</v>
      </c>
      <c r="N7" s="44">
        <v>0</v>
      </c>
      <c r="O7" s="44" t="str">
        <v>Dammgen &amp; Hutchings, 2008</v>
      </c>
      <c r="P7" s="44">
        <v>0.6</v>
      </c>
      <c r="Q7" s="44">
        <v>0</v>
      </c>
      <c r="R7" s="44" t="str">
        <v>Vinther, F.P, 2005</v>
      </c>
      <c r="S7" s="44">
        <v>0</v>
      </c>
      <c r="T7" s="44" t="str">
        <v>Forsuring</v>
      </c>
      <c r="U7" s="44">
        <v>-0.6</v>
      </c>
      <c r="V7" s="44">
        <v>0</v>
      </c>
      <c r="W7" s="44" t="str">
        <v>Miljøstyrelsen, besøg 26. nov 2020 og personlig kommentar fra Torkild Birkemose, SEGES - https://mst.dk/erhverv/landbrug/miljoeteknologi-og-bat/teknologilisten/gaa-til-teknologilisten/staldindretning/    or Olesen et al.. 2018</v>
      </c>
      <c r="X7" s="65">
        <v>0</v>
      </c>
    </row>
    <row r="8" spans="2:24" outlineLevel="1" x14ac:dyDescent="0.25">
      <c r="B8" s="91"/>
      <c r="C8" s="91"/>
      <c r="D8" s="91">
        <v>7</v>
      </c>
      <c r="E8" s="66" t="str">
        <v>Sengestald med fast gulv</v>
      </c>
      <c r="F8" s="44" t="str">
        <v>100% gyllesystem</v>
      </c>
      <c r="G8" s="44">
        <v>0.2</v>
      </c>
      <c r="H8" s="44">
        <v>0</v>
      </c>
      <c r="I8" s="44" t="str">
        <v>IPCC, 2019 - TABLE 10.21, EF3</v>
      </c>
      <c r="J8" s="44">
        <v>20</v>
      </c>
      <c r="K8" s="44">
        <v>0</v>
      </c>
      <c r="L8" s="44" t="str">
        <v>Normtal, AU</v>
      </c>
      <c r="M8" s="44">
        <v>0.2</v>
      </c>
      <c r="N8" s="44">
        <v>0</v>
      </c>
      <c r="O8" s="44" t="str">
        <v>Dammgen &amp; Hutchings, 2008</v>
      </c>
      <c r="P8" s="44">
        <v>0.6</v>
      </c>
      <c r="Q8" s="44">
        <v>0</v>
      </c>
      <c r="R8" s="44" t="str">
        <v>Vinther, F.P, 2005</v>
      </c>
      <c r="S8" s="44">
        <v>0</v>
      </c>
      <c r="T8" s="44" t="str">
        <v>Biogas</v>
      </c>
      <c r="U8" s="44">
        <v>-0.4</v>
      </c>
      <c r="V8" s="44">
        <v>0</v>
      </c>
      <c r="W8" s="44" t="str">
        <v>Nielsen et al. 2020</v>
      </c>
      <c r="X8" s="65">
        <v>0</v>
      </c>
    </row>
    <row r="9" spans="2:24" outlineLevel="1" x14ac:dyDescent="0.25">
      <c r="B9" s="91"/>
      <c r="C9" s="91"/>
      <c r="D9" s="91">
        <v>8</v>
      </c>
      <c r="E9" s="66" t="str">
        <v>Sengestald med fast drænet gulv</v>
      </c>
      <c r="F9" s="44" t="str">
        <v>100% gyllesystem</v>
      </c>
      <c r="G9" s="44">
        <v>0.2</v>
      </c>
      <c r="H9" s="44">
        <v>0</v>
      </c>
      <c r="I9" s="44" t="str">
        <v>IPCC, 2019 - TABLE 10.21, EF3</v>
      </c>
      <c r="J9" s="44">
        <v>10.4</v>
      </c>
      <c r="K9" s="44">
        <v>0</v>
      </c>
      <c r="L9" s="44" t="str">
        <v>Normtal, AU</v>
      </c>
      <c r="M9" s="44">
        <v>0.2</v>
      </c>
      <c r="N9" s="44">
        <v>0</v>
      </c>
      <c r="O9" s="44" t="str">
        <v>Dammgen &amp; Hutchings, 2008</v>
      </c>
      <c r="P9" s="44">
        <v>0.6</v>
      </c>
      <c r="Q9" s="44">
        <v>0</v>
      </c>
      <c r="R9" s="44" t="str">
        <v>Vinther, F.P, 2005</v>
      </c>
      <c r="S9" s="44">
        <v>0</v>
      </c>
      <c r="T9" s="44" t="str">
        <v>Dybstrøelse</v>
      </c>
      <c r="U9" s="44">
        <v>21</v>
      </c>
      <c r="V9" s="44">
        <v>0</v>
      </c>
      <c r="W9" s="44" t="str">
        <v>IPCC, 2019 - TABLE 10.17</v>
      </c>
      <c r="X9" s="65">
        <v>0</v>
      </c>
    </row>
    <row r="10" spans="2:24" outlineLevel="1" x14ac:dyDescent="0.25">
      <c r="B10" s="91"/>
      <c r="C10" s="91"/>
      <c r="D10" s="91">
        <v>9</v>
      </c>
      <c r="E10" s="66">
        <v>0</v>
      </c>
      <c r="F10" s="44">
        <v>0</v>
      </c>
      <c r="G10" s="44">
        <v>0</v>
      </c>
      <c r="H10" s="44">
        <v>0</v>
      </c>
      <c r="I10" s="44">
        <v>0</v>
      </c>
      <c r="J10" s="44">
        <v>0</v>
      </c>
      <c r="K10" s="44">
        <v>0</v>
      </c>
      <c r="L10" s="44">
        <v>0</v>
      </c>
      <c r="M10" s="44">
        <v>0</v>
      </c>
      <c r="N10" s="44">
        <v>0</v>
      </c>
      <c r="O10" s="44">
        <v>0</v>
      </c>
      <c r="P10" s="44">
        <v>0</v>
      </c>
      <c r="Q10" s="44">
        <v>0</v>
      </c>
      <c r="R10" s="44">
        <v>0</v>
      </c>
      <c r="S10" s="44">
        <v>0</v>
      </c>
      <c r="T10" s="44" t="str">
        <v>Afgræsning</v>
      </c>
      <c r="U10" s="44">
        <v>0.47</v>
      </c>
      <c r="V10" s="44">
        <v>0</v>
      </c>
      <c r="W10" s="44" t="str">
        <v>IPCC, 2019 - TABLE 10.17  (0.47%)</v>
      </c>
      <c r="X10" s="65">
        <v>0</v>
      </c>
    </row>
    <row r="11" spans="2:24" outlineLevel="1" x14ac:dyDescent="0.25">
      <c r="B11" s="91"/>
      <c r="C11" s="91"/>
      <c r="D11" s="91">
        <v>10</v>
      </c>
      <c r="E11" s="66" t="str">
        <v>Dybstrøelse (hele arealet)</v>
      </c>
      <c r="F11" s="44" t="str">
        <v>100 % dybstrøelsessystem</v>
      </c>
      <c r="G11" s="44">
        <v>0</v>
      </c>
      <c r="H11" s="44">
        <v>1</v>
      </c>
      <c r="I11" s="44" t="str">
        <v xml:space="preserve">IPCC, 2019 - TABLE 10.21 </v>
      </c>
      <c r="J11" s="44">
        <v>0</v>
      </c>
      <c r="K11" s="44">
        <v>6</v>
      </c>
      <c r="L11" s="44" t="str">
        <v>Normtal, AU</v>
      </c>
      <c r="M11" s="44">
        <v>0</v>
      </c>
      <c r="N11" s="44">
        <v>1</v>
      </c>
      <c r="O11" s="44" t="str">
        <v>Dammgen &amp; Hutchings, 2008</v>
      </c>
      <c r="P11" s="44">
        <v>0</v>
      </c>
      <c r="Q11" s="44">
        <v>0.1</v>
      </c>
      <c r="R11" s="44" t="str">
        <v>Vinther, F.P, 2005</v>
      </c>
      <c r="S11" s="44">
        <v>0</v>
      </c>
      <c r="T11" s="44">
        <v>0</v>
      </c>
      <c r="U11" s="44">
        <v>0</v>
      </c>
      <c r="V11" s="44">
        <v>0</v>
      </c>
      <c r="W11" s="44">
        <v>0</v>
      </c>
      <c r="X11" s="65">
        <v>0</v>
      </c>
    </row>
    <row r="12" spans="2:24" outlineLevel="1" x14ac:dyDescent="0.25">
      <c r="B12" s="91"/>
      <c r="C12" s="91"/>
      <c r="D12" s="91">
        <v>11</v>
      </c>
      <c r="E12" s="66" t="str">
        <v>Dybstrøelse, kort ædeplads</v>
      </c>
      <c r="F12" s="44" t="str">
        <v>100 % dybstrøelsessystem</v>
      </c>
      <c r="G12" s="44">
        <v>0</v>
      </c>
      <c r="H12" s="44">
        <v>1</v>
      </c>
      <c r="I12" s="44" t="str">
        <v>IPCC, 2019 - TABLE 10.21, EF3</v>
      </c>
      <c r="J12" s="44">
        <v>0</v>
      </c>
      <c r="K12" s="44">
        <v>6</v>
      </c>
      <c r="L12" s="44" t="str">
        <v>Normtal, AU</v>
      </c>
      <c r="M12" s="44">
        <v>0</v>
      </c>
      <c r="N12" s="44">
        <v>1</v>
      </c>
      <c r="O12" s="44" t="str">
        <v>Dammgen &amp; Hutchings, 2008</v>
      </c>
      <c r="P12" s="44">
        <v>0</v>
      </c>
      <c r="Q12" s="44">
        <v>0.1</v>
      </c>
      <c r="R12" s="44" t="str">
        <v>Vinther, F.P, 2005</v>
      </c>
      <c r="S12" s="44">
        <v>0</v>
      </c>
      <c r="T12" s="44" t="str">
        <v>Omregning fra emissionsgas til CO2 eq</v>
      </c>
      <c r="U12" s="44">
        <v>0</v>
      </c>
      <c r="V12" s="44">
        <v>0</v>
      </c>
      <c r="W12" s="44" t="str">
        <v>Reference</v>
      </c>
      <c r="X12" s="65">
        <v>0</v>
      </c>
    </row>
    <row r="13" spans="2:24" outlineLevel="1" x14ac:dyDescent="0.25">
      <c r="B13" s="91"/>
      <c r="C13" s="91"/>
      <c r="D13" s="91">
        <v>12</v>
      </c>
      <c r="E13" s="66" t="str">
        <v>Dybstrøelse, lang ædeplads med fast gulv</v>
      </c>
      <c r="F13" s="44" t="str">
        <v>60 % dybstrøelsessystem - 40 % gyllesystem</v>
      </c>
      <c r="G13" s="44">
        <v>0.2</v>
      </c>
      <c r="H13" s="44">
        <v>1</v>
      </c>
      <c r="I13" s="44" t="str">
        <v>IPCC, 2019 - TABLE 10.21, EF3</v>
      </c>
      <c r="J13" s="44">
        <v>20</v>
      </c>
      <c r="K13" s="44">
        <v>6</v>
      </c>
      <c r="L13" s="44" t="str">
        <v>Normtal, AU</v>
      </c>
      <c r="M13" s="44">
        <v>0.2</v>
      </c>
      <c r="N13" s="44">
        <v>1</v>
      </c>
      <c r="O13" s="44" t="str">
        <v>Dammgen &amp; Hutchings, 2008</v>
      </c>
      <c r="P13" s="44">
        <v>0.6</v>
      </c>
      <c r="Q13" s="44">
        <v>0.1</v>
      </c>
      <c r="R13" s="44" t="str">
        <v>Vinther, F.P, 2005</v>
      </c>
      <c r="S13" s="44">
        <v>0</v>
      </c>
      <c r="T13" s="44" t="str">
        <v>Lattergas</v>
      </c>
      <c r="U13" s="44">
        <v>273</v>
      </c>
      <c r="V13" s="44" t="str">
        <v>CO2eq</v>
      </c>
      <c r="W13" s="44" t="str">
        <v>IPCC, 2021. IPCC_AR6_WGI_Full_Report, The Physical Science Basis</v>
      </c>
      <c r="X13" s="65">
        <v>0</v>
      </c>
    </row>
    <row r="14" spans="2:24" outlineLevel="1" x14ac:dyDescent="0.25">
      <c r="B14" s="91"/>
      <c r="C14" s="91"/>
      <c r="D14" s="91">
        <v>13</v>
      </c>
      <c r="E14" s="66" t="str">
        <v>Dybstrøelse, lang ædeplads med spalter (kanal, linespil)</v>
      </c>
      <c r="F14" s="44" t="str">
        <v>60 % dybstrøelsessystem - 40 % gyllesystem</v>
      </c>
      <c r="G14" s="44">
        <v>0.2</v>
      </c>
      <c r="H14" s="44">
        <v>1</v>
      </c>
      <c r="I14" s="44" t="str">
        <v>IPCC, 2019 - TABLE 10.21, EF3</v>
      </c>
      <c r="J14" s="44">
        <v>12</v>
      </c>
      <c r="K14" s="44">
        <v>6</v>
      </c>
      <c r="L14" s="44" t="str">
        <v>Normtal, AU</v>
      </c>
      <c r="M14" s="44">
        <v>0.2</v>
      </c>
      <c r="N14" s="44">
        <v>1</v>
      </c>
      <c r="O14" s="44" t="str">
        <v>Dammgen &amp; Hutchings, 2008</v>
      </c>
      <c r="P14" s="44">
        <v>0.6</v>
      </c>
      <c r="Q14" s="44">
        <v>0.1</v>
      </c>
      <c r="R14" s="44" t="str">
        <v>Vinther, F.P, 2005</v>
      </c>
      <c r="S14" s="44">
        <v>0</v>
      </c>
      <c r="T14" s="44" t="str">
        <v>Metan</v>
      </c>
      <c r="U14" s="44">
        <v>27.9</v>
      </c>
      <c r="V14" s="44" t="str">
        <v>CO2eq</v>
      </c>
      <c r="W14" s="44" t="str">
        <v>IPCC, 2021. IPCC_AR6_WGI_Full_Report, The Physical Science Basis</v>
      </c>
      <c r="X14" s="65">
        <v>0</v>
      </c>
    </row>
    <row r="15" spans="2:24" outlineLevel="1" x14ac:dyDescent="0.25">
      <c r="B15" s="91"/>
      <c r="C15" s="91"/>
      <c r="D15" s="91">
        <v>14</v>
      </c>
      <c r="E15" s="66" t="str">
        <v>Dybstrøelse, lang ædeplads med spalter (kanal, bagskyl eller ringkanal)</v>
      </c>
      <c r="F15" s="44" t="str">
        <v>60 % dybstrøelsessystem - 40 % gyllesystem</v>
      </c>
      <c r="G15" s="44">
        <v>0.2</v>
      </c>
      <c r="H15" s="44">
        <v>1</v>
      </c>
      <c r="I15" s="44" t="str">
        <v>IPCC, 2019 - TABLE 10.21, EF3</v>
      </c>
      <c r="J15" s="44">
        <v>13.5</v>
      </c>
      <c r="K15" s="44">
        <v>6</v>
      </c>
      <c r="L15" s="44" t="str">
        <v>Normtal, AU</v>
      </c>
      <c r="M15" s="44">
        <v>0.2</v>
      </c>
      <c r="N15" s="44">
        <v>1</v>
      </c>
      <c r="O15" s="44" t="str">
        <v>Dammgen &amp; Hutchings, 2008</v>
      </c>
      <c r="P15" s="44">
        <v>0.6</v>
      </c>
      <c r="Q15" s="44">
        <v>0.1</v>
      </c>
      <c r="R15" s="44" t="str">
        <v>Vinther, F.P, 2005</v>
      </c>
      <c r="S15" s="44">
        <v>0</v>
      </c>
      <c r="T15" s="44">
        <v>0</v>
      </c>
      <c r="U15" s="44">
        <v>0</v>
      </c>
      <c r="V15" s="44">
        <v>0</v>
      </c>
      <c r="W15" s="44">
        <v>0</v>
      </c>
      <c r="X15" s="65">
        <v>0</v>
      </c>
    </row>
    <row r="16" spans="2:24" outlineLevel="1" x14ac:dyDescent="0.25">
      <c r="B16" s="91"/>
      <c r="C16" s="91"/>
      <c r="D16" s="91">
        <v>15</v>
      </c>
      <c r="E16" s="66" t="str">
        <v>Dybstrøelse, lang ædeplads, fast drænet gulv med skraber og ajleafløb</v>
      </c>
      <c r="F16" s="44" t="str">
        <v>60 % dybstrøelsessystem - 40 % gyllesystem</v>
      </c>
      <c r="G16" s="44">
        <v>0.2</v>
      </c>
      <c r="H16" s="44">
        <v>1</v>
      </c>
      <c r="I16" s="44" t="str">
        <v>IPCC, 2019 - TABLE 10.21, EF3</v>
      </c>
      <c r="J16" s="44">
        <v>0</v>
      </c>
      <c r="K16" s="44">
        <v>0</v>
      </c>
      <c r="L16" s="44">
        <v>0</v>
      </c>
      <c r="M16" s="44">
        <v>0</v>
      </c>
      <c r="N16" s="44">
        <v>0</v>
      </c>
      <c r="O16" s="44">
        <v>0</v>
      </c>
      <c r="P16" s="44">
        <v>0</v>
      </c>
      <c r="Q16" s="44">
        <v>0</v>
      </c>
      <c r="R16" s="44">
        <v>0</v>
      </c>
      <c r="S16" s="44">
        <v>0</v>
      </c>
      <c r="T16" s="44">
        <v>0</v>
      </c>
      <c r="U16" s="44">
        <v>0</v>
      </c>
      <c r="V16" s="44">
        <v>0</v>
      </c>
      <c r="W16" s="44" t="str">
        <v>Reference</v>
      </c>
      <c r="X16" s="65">
        <v>0</v>
      </c>
    </row>
    <row r="17" spans="2:24" outlineLevel="1" x14ac:dyDescent="0.25">
      <c r="B17" s="91"/>
      <c r="C17" s="91"/>
      <c r="D17" s="91">
        <v>16</v>
      </c>
      <c r="E17" s="66" t="str">
        <v>Spaltegulvsbokse</v>
      </c>
      <c r="F17" s="44" t="str">
        <v>100 % gylle</v>
      </c>
      <c r="G17" s="44">
        <v>0.2</v>
      </c>
      <c r="H17" s="44">
        <v>0</v>
      </c>
      <c r="I17" s="44" t="str">
        <v>IPCC, 2019 - TABLE 10.21, EF3</v>
      </c>
      <c r="J17" s="44">
        <v>16</v>
      </c>
      <c r="K17" s="44">
        <v>0</v>
      </c>
      <c r="L17" s="44" t="str">
        <v>Normtal, AU</v>
      </c>
      <c r="M17" s="44">
        <v>0</v>
      </c>
      <c r="N17" s="44">
        <v>0</v>
      </c>
      <c r="O17" s="44">
        <v>0</v>
      </c>
      <c r="P17" s="44">
        <v>0</v>
      </c>
      <c r="Q17" s="44">
        <v>0</v>
      </c>
      <c r="R17" s="44">
        <v>0</v>
      </c>
      <c r="S17" s="44">
        <v>0</v>
      </c>
      <c r="T17" s="44" t="str">
        <v>Antal dage gylle i stalden</v>
      </c>
      <c r="U17" s="44">
        <v>182.5</v>
      </c>
      <c r="V17" s="44" t="str">
        <v>days</v>
      </c>
      <c r="W17" s="44" t="str">
        <v>assumption</v>
      </c>
      <c r="X17" s="65">
        <v>0</v>
      </c>
    </row>
    <row r="18" spans="2:24" outlineLevel="1" x14ac:dyDescent="0.25">
      <c r="B18" s="91"/>
      <c r="C18" s="91"/>
      <c r="D18" s="91">
        <v>17</v>
      </c>
      <c r="E18" s="66">
        <v>0</v>
      </c>
      <c r="F18" s="44">
        <v>0</v>
      </c>
      <c r="G18" s="44">
        <v>0</v>
      </c>
      <c r="H18" s="44">
        <v>0</v>
      </c>
      <c r="I18" s="44">
        <v>0</v>
      </c>
      <c r="J18" s="44">
        <v>0</v>
      </c>
      <c r="K18" s="44" t="str">
        <v>NH3, % af total-N ab dyr (FracGASM)</v>
      </c>
      <c r="L18" s="44">
        <v>0</v>
      </c>
      <c r="M18" s="44">
        <v>0</v>
      </c>
      <c r="N18" s="44">
        <v>0</v>
      </c>
      <c r="O18" s="44">
        <v>0</v>
      </c>
      <c r="P18" s="44">
        <v>0</v>
      </c>
      <c r="Q18" s="44">
        <v>0</v>
      </c>
      <c r="R18" s="44">
        <v>0</v>
      </c>
      <c r="S18" s="44">
        <v>0</v>
      </c>
      <c r="T18" s="44">
        <v>0</v>
      </c>
      <c r="U18" s="44">
        <v>0</v>
      </c>
      <c r="V18" s="44">
        <v>0</v>
      </c>
      <c r="W18" s="44">
        <v>0</v>
      </c>
      <c r="X18" s="65">
        <v>0</v>
      </c>
    </row>
    <row r="19" spans="2:24" outlineLevel="1" x14ac:dyDescent="0.25">
      <c r="B19" s="91"/>
      <c r="C19" s="91"/>
      <c r="D19" s="91">
        <v>18</v>
      </c>
      <c r="E19" s="66" t="str">
        <v>Afgræsning</v>
      </c>
      <c r="F19" s="44">
        <v>0</v>
      </c>
      <c r="G19" s="44">
        <v>0.4</v>
      </c>
      <c r="H19" s="44">
        <v>0</v>
      </c>
      <c r="I19" s="44" t="str">
        <v>IPCC, 2019 - TABLE 11.1, EF3prp, cpp</v>
      </c>
      <c r="J19" s="44">
        <v>0</v>
      </c>
      <c r="K19" s="44">
        <v>0.21</v>
      </c>
      <c r="L19" s="44" t="str">
        <v>IPCC, 2019 - TABLE 11.3, FracGASM</v>
      </c>
      <c r="M19" s="44">
        <v>0.2</v>
      </c>
      <c r="N19" s="44">
        <v>0</v>
      </c>
      <c r="O19" s="44" t="str">
        <v>Dammgen &amp; Hutchings, 2008</v>
      </c>
      <c r="P19" s="44">
        <v>6</v>
      </c>
      <c r="Q19" s="44">
        <v>0</v>
      </c>
      <c r="R19" s="44" t="str">
        <v>Vinther, F.P, 2005</v>
      </c>
      <c r="S19" s="44">
        <v>0</v>
      </c>
      <c r="T19" s="44" t="str">
        <v>[N volatilisation and re-deposition]</v>
      </c>
      <c r="U19" s="44">
        <v>0</v>
      </c>
      <c r="V19" s="44">
        <v>0</v>
      </c>
      <c r="W19" s="44" t="str">
        <v>Reference</v>
      </c>
      <c r="X19" s="65">
        <v>0</v>
      </c>
    </row>
    <row r="20" spans="2:24" outlineLevel="1" x14ac:dyDescent="0.25">
      <c r="B20" s="91"/>
      <c r="C20" s="91"/>
      <c r="D20" s="91">
        <v>19</v>
      </c>
      <c r="E20" s="66">
        <v>0</v>
      </c>
      <c r="F20" s="44">
        <v>0</v>
      </c>
      <c r="G20" s="44">
        <v>0</v>
      </c>
      <c r="H20" s="44">
        <v>0</v>
      </c>
      <c r="I20" s="44">
        <v>0</v>
      </c>
      <c r="J20" s="44">
        <v>0</v>
      </c>
      <c r="K20" s="44">
        <v>0</v>
      </c>
      <c r="L20" s="44">
        <v>0</v>
      </c>
      <c r="M20" s="44">
        <v>0</v>
      </c>
      <c r="N20" s="44">
        <v>0</v>
      </c>
      <c r="O20" s="44">
        <v>0</v>
      </c>
      <c r="P20" s="44">
        <v>0</v>
      </c>
      <c r="Q20" s="44">
        <v>0</v>
      </c>
      <c r="R20" s="44">
        <v>0</v>
      </c>
      <c r="S20" s="44">
        <v>0</v>
      </c>
      <c r="T20" s="44" t="str">
        <v>EF4</v>
      </c>
      <c r="U20" s="44">
        <v>0.01</v>
      </c>
      <c r="V20" s="44" t="str">
        <v>kg N2O–N (kg NH3–N + NOX–N volatilised)-1</v>
      </c>
      <c r="W20" s="44" t="str">
        <v>IPCC, 2019 - TABLE 11.3</v>
      </c>
      <c r="X20" s="65">
        <v>0</v>
      </c>
    </row>
    <row r="21" spans="2:24" outlineLevel="1" x14ac:dyDescent="0.25">
      <c r="B21" s="91"/>
      <c r="C21" s="91"/>
      <c r="D21" s="91">
        <v>20</v>
      </c>
      <c r="E21" s="66" t="str">
        <v>Lager - gyllesystem</v>
      </c>
      <c r="F21" s="44">
        <v>0</v>
      </c>
      <c r="G21" s="44">
        <v>0</v>
      </c>
      <c r="H21" s="44">
        <v>0</v>
      </c>
      <c r="I21" s="44">
        <v>0</v>
      </c>
      <c r="J21" s="44">
        <v>0</v>
      </c>
      <c r="K21" s="44">
        <v>0</v>
      </c>
      <c r="L21" s="44">
        <v>0</v>
      </c>
      <c r="M21" s="44">
        <v>0</v>
      </c>
      <c r="N21" s="44">
        <v>0</v>
      </c>
      <c r="O21" s="44">
        <v>0</v>
      </c>
      <c r="P21" s="44">
        <v>0</v>
      </c>
      <c r="Q21" s="44">
        <v>0</v>
      </c>
      <c r="R21" s="44">
        <v>0</v>
      </c>
      <c r="S21" s="44">
        <v>0</v>
      </c>
      <c r="T21" s="44" t="str">
        <v>[leaching/ runoff]</v>
      </c>
      <c r="U21" s="44">
        <v>0</v>
      </c>
      <c r="V21" s="44">
        <v>0</v>
      </c>
      <c r="W21" s="44" t="str">
        <v>Reference</v>
      </c>
      <c r="X21" s="65">
        <v>0</v>
      </c>
    </row>
    <row r="22" spans="2:24" outlineLevel="1" x14ac:dyDescent="0.25">
      <c r="B22" s="91"/>
      <c r="C22" s="91"/>
      <c r="D22" s="91">
        <v>21</v>
      </c>
      <c r="E22" s="66" t="str">
        <v>Gylle med flydelag el. lign.</v>
      </c>
      <c r="F22" s="44">
        <v>0</v>
      </c>
      <c r="G22" s="44">
        <v>0.5</v>
      </c>
      <c r="H22" s="44">
        <v>0</v>
      </c>
      <c r="I22" s="44" t="str">
        <v>IPCC, 2019 - TABLE 10.21</v>
      </c>
      <c r="J22" s="44">
        <v>3.4</v>
      </c>
      <c r="K22" s="44">
        <v>2</v>
      </c>
      <c r="L22" s="44" t="str">
        <v>Hansen et al. 2008</v>
      </c>
      <c r="M22" s="44">
        <v>0</v>
      </c>
      <c r="N22" s="44">
        <v>0</v>
      </c>
      <c r="O22" s="44">
        <v>0</v>
      </c>
      <c r="P22" s="44">
        <v>0</v>
      </c>
      <c r="Q22" s="44">
        <v>0</v>
      </c>
      <c r="R22" s="44">
        <v>0</v>
      </c>
      <c r="S22" s="44">
        <v>0</v>
      </c>
      <c r="T22" s="44" t="str">
        <v>EF5</v>
      </c>
      <c r="U22" s="44">
        <v>1.0999999999999999E-2</v>
      </c>
      <c r="V22" s="44" t="str">
        <v>kg N2O–N (kg N leaching/runoff)-1</v>
      </c>
      <c r="W22" s="44" t="str">
        <v>IPCC, 2019 - TABLE 11.3</v>
      </c>
      <c r="X22" s="65">
        <v>0</v>
      </c>
    </row>
    <row r="23" spans="2:24" outlineLevel="1" x14ac:dyDescent="0.25">
      <c r="B23" s="91"/>
      <c r="C23" s="91"/>
      <c r="D23" s="91">
        <v>22</v>
      </c>
      <c r="E23" s="66" t="str">
        <v>Dybstrøelse med overdækning</v>
      </c>
      <c r="F23" s="44">
        <v>0</v>
      </c>
      <c r="G23" s="44">
        <v>0</v>
      </c>
      <c r="H23" s="44">
        <v>1</v>
      </c>
      <c r="I23" s="44" t="str">
        <v xml:space="preserve">IPCC, 2019 - TABLE 10.21 </v>
      </c>
      <c r="J23" s="44">
        <v>0</v>
      </c>
      <c r="K23" s="44">
        <v>3</v>
      </c>
      <c r="L23" s="44" t="str">
        <v>Hansen et al. 2008</v>
      </c>
      <c r="M23" s="44">
        <v>0</v>
      </c>
      <c r="N23" s="44">
        <v>0</v>
      </c>
      <c r="O23" s="44">
        <v>0</v>
      </c>
      <c r="P23" s="44">
        <v>0</v>
      </c>
      <c r="Q23" s="44">
        <v>0</v>
      </c>
      <c r="R23" s="44">
        <v>0</v>
      </c>
      <c r="S23" s="44">
        <v>0</v>
      </c>
      <c r="T23" s="44" t="str">
        <v>FracLEACH</v>
      </c>
      <c r="U23" s="44">
        <v>0.24</v>
      </c>
      <c r="V23" s="44" t="str">
        <v>kg N losses by leaching/runoff</v>
      </c>
      <c r="W23" s="44" t="str">
        <v>IPCC, 2019 - TABLE 11.3</v>
      </c>
      <c r="X23" s="65">
        <v>0</v>
      </c>
    </row>
    <row r="24" spans="2:24" outlineLevel="1" x14ac:dyDescent="0.25">
      <c r="B24" s="91"/>
      <c r="C24" s="91"/>
      <c r="D24" s="91">
        <v>23</v>
      </c>
      <c r="E24" s="66">
        <v>0</v>
      </c>
      <c r="F24" s="44">
        <v>0</v>
      </c>
      <c r="G24" s="44">
        <v>0</v>
      </c>
      <c r="H24" s="44">
        <v>0</v>
      </c>
      <c r="I24" s="44">
        <v>0</v>
      </c>
      <c r="J24" s="44">
        <v>0</v>
      </c>
      <c r="K24" s="44">
        <v>0</v>
      </c>
      <c r="L24" s="44">
        <v>0</v>
      </c>
      <c r="M24" s="44">
        <v>0</v>
      </c>
      <c r="N24" s="44">
        <v>0</v>
      </c>
      <c r="O24" s="44">
        <v>0</v>
      </c>
      <c r="P24" s="44">
        <v>0</v>
      </c>
      <c r="Q24" s="44">
        <v>0</v>
      </c>
      <c r="R24" s="44">
        <v>0</v>
      </c>
      <c r="S24" s="44">
        <v>0</v>
      </c>
      <c r="T24" s="44">
        <v>0</v>
      </c>
      <c r="U24" s="44">
        <v>0</v>
      </c>
      <c r="V24" s="44">
        <v>0</v>
      </c>
      <c r="W24" s="44">
        <v>0</v>
      </c>
      <c r="X24" s="65">
        <v>0</v>
      </c>
    </row>
    <row r="25" spans="2:24" outlineLevel="1" x14ac:dyDescent="0.25">
      <c r="B25" s="91"/>
      <c r="C25" s="91"/>
      <c r="D25" s="91">
        <v>24</v>
      </c>
      <c r="E25" s="66" t="str">
        <v>Virkemidler</v>
      </c>
      <c r="F25" s="44">
        <v>0</v>
      </c>
      <c r="G25" s="44">
        <v>0</v>
      </c>
      <c r="H25" s="44">
        <v>0</v>
      </c>
      <c r="I25" s="44">
        <v>0</v>
      </c>
      <c r="J25" s="44">
        <v>0</v>
      </c>
      <c r="K25" s="44">
        <v>0</v>
      </c>
      <c r="L25" s="44">
        <v>0</v>
      </c>
      <c r="M25" s="44">
        <v>0</v>
      </c>
      <c r="N25" s="44">
        <v>0</v>
      </c>
      <c r="O25" s="44">
        <v>0</v>
      </c>
      <c r="P25" s="44">
        <v>0</v>
      </c>
      <c r="Q25" s="44">
        <v>0</v>
      </c>
      <c r="R25" s="44">
        <v>0</v>
      </c>
      <c r="S25" s="44">
        <v>0</v>
      </c>
      <c r="T25" s="44">
        <v>0</v>
      </c>
      <c r="U25" s="44">
        <v>0</v>
      </c>
      <c r="V25" s="44">
        <v>0</v>
      </c>
      <c r="W25" s="44">
        <v>0</v>
      </c>
      <c r="X25" s="65">
        <v>0</v>
      </c>
    </row>
    <row r="26" spans="2:24" outlineLevel="1" x14ac:dyDescent="0.25">
      <c r="B26" s="91"/>
      <c r="C26" s="91"/>
      <c r="D26" s="91">
        <v>25</v>
      </c>
      <c r="E26" s="66" t="str">
        <v>Afgasset gylle med flydelag el. lign.</v>
      </c>
      <c r="F26" s="44">
        <v>0</v>
      </c>
      <c r="G26" s="44">
        <v>0.5</v>
      </c>
      <c r="H26" s="44" t="str">
        <v>IPCC, 2006 modified by Martin Øvli*</v>
      </c>
      <c r="I26" s="44">
        <v>0</v>
      </c>
      <c r="J26" s="44">
        <v>0.5</v>
      </c>
      <c r="K26" s="44">
        <v>0</v>
      </c>
      <c r="L26" s="44" t="str">
        <v>Hansen et al., 2008</v>
      </c>
      <c r="M26" s="44">
        <v>0</v>
      </c>
      <c r="N26" s="44">
        <v>0</v>
      </c>
      <c r="O26" s="44">
        <v>0</v>
      </c>
      <c r="P26" s="44">
        <v>0</v>
      </c>
      <c r="Q26" s="44">
        <v>0</v>
      </c>
      <c r="R26" s="44">
        <v>0</v>
      </c>
      <c r="S26" s="44">
        <v>0</v>
      </c>
      <c r="T26" s="44">
        <v>0</v>
      </c>
      <c r="U26" s="44">
        <v>0</v>
      </c>
      <c r="V26" s="44">
        <v>0</v>
      </c>
      <c r="W26" s="44">
        <v>0</v>
      </c>
      <c r="X26" s="65">
        <v>0</v>
      </c>
    </row>
    <row r="27" spans="2:24" outlineLevel="1" x14ac:dyDescent="0.25">
      <c r="B27" s="91"/>
      <c r="C27" s="91"/>
      <c r="D27" s="91">
        <v>26</v>
      </c>
      <c r="E27" s="66" t="str">
        <v>Forsuring</v>
      </c>
      <c r="F27" s="44">
        <v>0</v>
      </c>
      <c r="G27" s="44">
        <v>0</v>
      </c>
      <c r="H27" s="44">
        <v>0</v>
      </c>
      <c r="I27" s="44">
        <v>0</v>
      </c>
      <c r="J27" s="44">
        <v>-0.5</v>
      </c>
      <c r="K27" s="44">
        <v>0</v>
      </c>
      <c r="L27" s="44" t="str">
        <v>Miljøstyrelsen, besøg 26. nov 2020 - https://mst.dk/erhverv/landbrug/miljoeteknologi-og-bat/teknologilisten/gaa-til-teknologilisten/staldindretning/ - For lagret angives 1 % som fordampning, hvilket er 50 % lavere end gylle med flydelag, som står til at have 2 % ammoniakfordampning af total-N</v>
      </c>
      <c r="M27" s="44">
        <v>0</v>
      </c>
      <c r="N27" s="44">
        <v>0</v>
      </c>
      <c r="O27" s="44">
        <v>0</v>
      </c>
      <c r="P27" s="44">
        <v>0</v>
      </c>
      <c r="Q27" s="44">
        <v>0</v>
      </c>
      <c r="R27" s="44">
        <v>0</v>
      </c>
      <c r="S27" s="44">
        <v>0</v>
      </c>
      <c r="T27" s="44">
        <v>0</v>
      </c>
      <c r="U27" s="44">
        <v>0</v>
      </c>
      <c r="V27" s="44">
        <v>0</v>
      </c>
      <c r="W27" s="44">
        <v>0</v>
      </c>
      <c r="X27" s="65">
        <v>0</v>
      </c>
    </row>
    <row r="28" spans="2:24" outlineLevel="1" x14ac:dyDescent="0.25">
      <c r="B28" s="91"/>
      <c r="C28" s="91"/>
      <c r="D28" s="91">
        <v>27</v>
      </c>
      <c r="E28" s="66">
        <v>0</v>
      </c>
      <c r="F28" s="44">
        <v>0</v>
      </c>
      <c r="G28" s="44">
        <v>0</v>
      </c>
      <c r="H28" s="44">
        <v>0</v>
      </c>
      <c r="I28" s="44">
        <v>0</v>
      </c>
      <c r="J28" s="44">
        <v>0</v>
      </c>
      <c r="K28" s="44">
        <v>0</v>
      </c>
      <c r="L28" s="44">
        <v>0</v>
      </c>
      <c r="M28" s="44">
        <v>0</v>
      </c>
      <c r="N28" s="44">
        <v>0</v>
      </c>
      <c r="O28" s="44">
        <v>0</v>
      </c>
      <c r="P28" s="44">
        <v>0</v>
      </c>
      <c r="Q28" s="44">
        <v>0</v>
      </c>
      <c r="R28" s="44">
        <v>0</v>
      </c>
      <c r="S28" s="44">
        <v>0</v>
      </c>
      <c r="T28" s="44">
        <v>0</v>
      </c>
      <c r="U28" s="44">
        <v>0</v>
      </c>
      <c r="V28" s="44">
        <v>0</v>
      </c>
      <c r="W28" s="44">
        <v>0</v>
      </c>
      <c r="X28" s="65">
        <v>0</v>
      </c>
    </row>
    <row r="29" spans="2:24" outlineLevel="1" x14ac:dyDescent="0.25">
      <c r="B29" s="91"/>
      <c r="C29" s="91"/>
      <c r="D29" s="91">
        <v>28</v>
      </c>
      <c r="E29" s="66">
        <v>0</v>
      </c>
      <c r="F29" s="44">
        <v>0</v>
      </c>
      <c r="G29" s="44">
        <v>0</v>
      </c>
      <c r="H29" s="44" t="str">
        <v>* I IPCC 2006 står der at der ikke er nogen lattergas emission fra afgasset gylle. Det samme er gældende når det er ubehandlet gylle. Tilføjes der flydelag til ubehandlet gylle, så stiger lattergas EF til 0,5%. Det må derfor antages afgasset gylle med flydelag også har en EF på 0,5%.</v>
      </c>
      <c r="I29" s="44">
        <v>0</v>
      </c>
      <c r="J29" s="44">
        <v>0</v>
      </c>
      <c r="K29" s="44">
        <v>0</v>
      </c>
      <c r="L29" s="44">
        <v>0</v>
      </c>
      <c r="M29" s="44">
        <v>0</v>
      </c>
      <c r="N29" s="44">
        <v>0</v>
      </c>
      <c r="O29" s="44">
        <v>0</v>
      </c>
      <c r="P29" s="44">
        <v>0</v>
      </c>
      <c r="Q29" s="44">
        <v>0</v>
      </c>
      <c r="R29" s="44">
        <v>0</v>
      </c>
      <c r="S29" s="44">
        <v>0</v>
      </c>
      <c r="T29" s="44">
        <v>0</v>
      </c>
      <c r="U29" s="44">
        <v>0</v>
      </c>
      <c r="V29" s="44">
        <v>0</v>
      </c>
      <c r="W29" s="44">
        <v>0</v>
      </c>
      <c r="X29" s="65">
        <v>0</v>
      </c>
    </row>
    <row r="30" spans="2:24" outlineLevel="1" x14ac:dyDescent="0.25">
      <c r="B30" s="91"/>
      <c r="C30" s="91"/>
      <c r="D30" s="91">
        <v>29</v>
      </c>
      <c r="E30" s="115">
        <v>0</v>
      </c>
      <c r="F30" s="24">
        <v>0</v>
      </c>
      <c r="G30" s="24">
        <v>0</v>
      </c>
      <c r="H30" s="24">
        <v>0</v>
      </c>
      <c r="I30" s="24">
        <v>0</v>
      </c>
      <c r="J30" s="24">
        <v>0</v>
      </c>
      <c r="K30" s="24">
        <v>0</v>
      </c>
      <c r="L30" s="24">
        <v>0</v>
      </c>
      <c r="M30" s="24">
        <v>0</v>
      </c>
      <c r="N30" s="24">
        <v>0</v>
      </c>
      <c r="O30" s="24">
        <v>0</v>
      </c>
      <c r="P30" s="24">
        <v>0</v>
      </c>
      <c r="Q30" s="24">
        <v>0</v>
      </c>
      <c r="R30" s="24">
        <v>0</v>
      </c>
      <c r="S30" s="24">
        <v>0</v>
      </c>
      <c r="T30" s="24">
        <v>0</v>
      </c>
      <c r="U30" s="24">
        <v>0</v>
      </c>
      <c r="V30" s="24">
        <v>0</v>
      </c>
      <c r="W30" s="24">
        <v>0</v>
      </c>
      <c r="X30" s="120">
        <v>0</v>
      </c>
    </row>
    <row r="31" spans="2:24" outlineLevel="1" x14ac:dyDescent="0.25"/>
    <row r="32" spans="2:24" x14ac:dyDescent="0.25">
      <c r="E32" s="44"/>
      <c r="F32" s="44"/>
      <c r="G32" s="113"/>
      <c r="O32" s="44"/>
    </row>
    <row r="33" spans="1:63" x14ac:dyDescent="0.25">
      <c r="D33" s="188"/>
      <c r="E33" s="188" t="s">
        <v>204</v>
      </c>
      <c r="F33" s="188"/>
      <c r="G33" s="189"/>
      <c r="H33" s="188"/>
      <c r="I33" s="188"/>
      <c r="J33" s="188"/>
      <c r="K33" s="188"/>
      <c r="L33" s="188"/>
      <c r="M33" s="188"/>
      <c r="N33" s="188"/>
      <c r="O33" s="188"/>
      <c r="P33" s="190" t="s">
        <v>215</v>
      </c>
      <c r="Q33" s="190"/>
      <c r="R33" s="190"/>
      <c r="S33" s="190"/>
      <c r="T33" s="190"/>
      <c r="U33" s="190"/>
      <c r="V33" s="190"/>
      <c r="W33" s="190"/>
      <c r="X33" s="190"/>
      <c r="Y33" s="44"/>
    </row>
    <row r="34" spans="1:63" s="310" customFormat="1" x14ac:dyDescent="0.25">
      <c r="G34" s="121"/>
      <c r="Y34" s="89"/>
    </row>
    <row r="35" spans="1:63" x14ac:dyDescent="0.25">
      <c r="K35" s="207" t="s">
        <v>203</v>
      </c>
      <c r="L35" s="195"/>
      <c r="M35" s="195"/>
      <c r="N35" s="195"/>
      <c r="V35" s="56" t="s">
        <v>210</v>
      </c>
    </row>
    <row r="36" spans="1:63" s="195" customFormat="1" x14ac:dyDescent="0.25">
      <c r="A36" s="578"/>
      <c r="B36" s="562" t="str">
        <f>'CH4_Gylle_Stald&amp;Lager'!V34</f>
        <v>Malkekøer, tung race Køer -tk</v>
      </c>
      <c r="K36" s="380" t="s">
        <v>203</v>
      </c>
      <c r="Q36" s="577" t="str">
        <f>B36</f>
        <v>Malkekøer, tung race Køer -tk</v>
      </c>
      <c r="V36" s="195" t="s">
        <v>210</v>
      </c>
      <c r="AA36" s="578"/>
      <c r="AC36" s="579"/>
      <c r="AD36" s="562" t="str">
        <f>'CH4_Gylle_Stald&amp;Lager'!AH34</f>
        <v>Malkekøer, jersey Køer -jk</v>
      </c>
      <c r="AM36" s="380" t="s">
        <v>203</v>
      </c>
      <c r="AS36" s="577" t="str">
        <f>AD36</f>
        <v>Malkekøer, jersey Køer -jk</v>
      </c>
      <c r="AX36" s="195" t="s">
        <v>210</v>
      </c>
      <c r="BC36" s="579"/>
      <c r="BF36" s="268" t="s">
        <v>566</v>
      </c>
      <c r="BG36" s="269"/>
      <c r="BH36" s="269"/>
      <c r="BI36" s="269"/>
      <c r="BJ36" s="269"/>
      <c r="BK36" s="269"/>
    </row>
    <row r="37" spans="1:63" x14ac:dyDescent="0.25">
      <c r="A37" s="302"/>
      <c r="B37" s="135" t="s">
        <v>93</v>
      </c>
      <c r="C37" s="567"/>
      <c r="D37" s="56" t="s">
        <v>203</v>
      </c>
      <c r="E37" s="104" t="s">
        <v>83</v>
      </c>
      <c r="F37" s="674" t="s">
        <v>9</v>
      </c>
      <c r="G37" s="111"/>
      <c r="H37" s="111"/>
      <c r="I37" s="111"/>
      <c r="J37" s="111"/>
      <c r="K37" s="248" t="s">
        <v>203</v>
      </c>
      <c r="L37" s="178"/>
      <c r="M37" s="178" t="s">
        <v>23</v>
      </c>
      <c r="N37" s="200" t="s">
        <v>27</v>
      </c>
      <c r="Q37" s="103"/>
      <c r="R37" s="191"/>
      <c r="S37" s="191"/>
      <c r="T37" s="191"/>
      <c r="U37" s="297"/>
      <c r="V37" s="298" t="s">
        <v>210</v>
      </c>
      <c r="W37" s="178"/>
      <c r="X37" s="178" t="s">
        <v>23</v>
      </c>
      <c r="Y37" s="200" t="s">
        <v>27</v>
      </c>
      <c r="Z37" s="139"/>
      <c r="AA37" s="302"/>
      <c r="AC37" s="483"/>
      <c r="AD37" s="135" t="s">
        <v>93</v>
      </c>
      <c r="AE37" s="567"/>
      <c r="AF37" s="56" t="s">
        <v>203</v>
      </c>
      <c r="AG37" s="104" t="s">
        <v>83</v>
      </c>
      <c r="AH37" s="674" t="s">
        <v>9</v>
      </c>
      <c r="AI37" s="111"/>
      <c r="AJ37" s="111"/>
      <c r="AK37" s="111"/>
      <c r="AL37" s="111"/>
      <c r="AM37" s="248" t="s">
        <v>203</v>
      </c>
      <c r="AN37" s="178"/>
      <c r="AO37" s="178" t="s">
        <v>23</v>
      </c>
      <c r="AP37" s="200" t="s">
        <v>27</v>
      </c>
      <c r="AS37" s="103"/>
      <c r="AT37" s="191"/>
      <c r="AU37" s="191"/>
      <c r="AV37" s="191"/>
      <c r="AW37" s="297"/>
      <c r="AX37" s="298" t="s">
        <v>210</v>
      </c>
      <c r="AY37" s="178"/>
      <c r="AZ37" s="178" t="s">
        <v>23</v>
      </c>
      <c r="BA37" s="200" t="s">
        <v>27</v>
      </c>
      <c r="BB37" s="139"/>
      <c r="BC37" s="483"/>
      <c r="BF37" s="590"/>
      <c r="BG37" s="718" t="s">
        <v>296</v>
      </c>
      <c r="BH37" s="719"/>
      <c r="BI37" s="270"/>
      <c r="BJ37" s="478" t="s">
        <v>298</v>
      </c>
    </row>
    <row r="38" spans="1:63" x14ac:dyDescent="0.25">
      <c r="A38" s="302"/>
      <c r="B38" s="136" t="s">
        <v>81</v>
      </c>
      <c r="C38" s="575">
        <f>'CH4_Gylle_Stald&amp;Lager'!X37</f>
        <v>150</v>
      </c>
      <c r="D38" s="56" t="s">
        <v>203</v>
      </c>
      <c r="E38" s="105" t="s">
        <v>231</v>
      </c>
      <c r="F38" s="675" t="s">
        <v>25</v>
      </c>
      <c r="G38" s="123"/>
      <c r="H38" s="123"/>
      <c r="I38" s="123"/>
      <c r="J38" s="123"/>
      <c r="K38" s="249" t="s">
        <v>203</v>
      </c>
      <c r="L38" s="175" t="s">
        <v>236</v>
      </c>
      <c r="M38" s="44"/>
      <c r="N38" s="65"/>
      <c r="Q38" s="255" t="s">
        <v>241</v>
      </c>
      <c r="R38" s="675" t="str">
        <f>F38</f>
        <v>Sengestald med spalter (kanal, bagskyl eller ringkanal)</v>
      </c>
      <c r="S38" s="192"/>
      <c r="T38" s="192"/>
      <c r="U38" s="192"/>
      <c r="V38" s="243"/>
      <c r="W38" s="175" t="s">
        <v>361</v>
      </c>
      <c r="X38" s="85"/>
      <c r="Y38" s="186"/>
      <c r="Z38" s="139"/>
      <c r="AA38" s="302"/>
      <c r="AC38" s="483"/>
      <c r="AD38" s="136" t="s">
        <v>81</v>
      </c>
      <c r="AE38" s="575">
        <f>'CH4_Gylle_Stald&amp;Lager'!AJ37</f>
        <v>150</v>
      </c>
      <c r="AF38" s="56" t="s">
        <v>203</v>
      </c>
      <c r="AG38" s="105" t="s">
        <v>231</v>
      </c>
      <c r="AH38" s="675" t="s">
        <v>25</v>
      </c>
      <c r="AI38" s="123"/>
      <c r="AJ38" s="123"/>
      <c r="AK38" s="123"/>
      <c r="AL38" s="123"/>
      <c r="AM38" s="249" t="s">
        <v>203</v>
      </c>
      <c r="AN38" s="175" t="s">
        <v>236</v>
      </c>
      <c r="AO38" s="44"/>
      <c r="AP38" s="65"/>
      <c r="AS38" s="255" t="s">
        <v>241</v>
      </c>
      <c r="AT38" s="675" t="str">
        <f>AH38</f>
        <v>Sengestald med spalter (kanal, bagskyl eller ringkanal)</v>
      </c>
      <c r="AU38" s="192"/>
      <c r="AV38" s="192"/>
      <c r="AW38" s="192"/>
      <c r="AX38" s="243"/>
      <c r="AY38" s="175" t="s">
        <v>361</v>
      </c>
      <c r="AZ38" s="85"/>
      <c r="BA38" s="186"/>
      <c r="BB38" s="139"/>
      <c r="BC38" s="483"/>
      <c r="BF38" s="592"/>
      <c r="BG38" s="328" t="s">
        <v>238</v>
      </c>
      <c r="BH38" s="327" t="s">
        <v>381</v>
      </c>
      <c r="BI38" s="336" t="s">
        <v>382</v>
      </c>
      <c r="BJ38" s="479"/>
    </row>
    <row r="39" spans="1:63" x14ac:dyDescent="0.25">
      <c r="A39" s="302"/>
      <c r="B39" s="137" t="s">
        <v>82</v>
      </c>
      <c r="C39" s="576">
        <f>'CH4_Gylle_Stald&amp;Lager'!X38</f>
        <v>7</v>
      </c>
      <c r="D39" s="56" t="s">
        <v>203</v>
      </c>
      <c r="E39" s="106"/>
      <c r="F39" s="676" t="s">
        <v>30</v>
      </c>
      <c r="G39" s="112"/>
      <c r="H39" s="112"/>
      <c r="I39" s="112"/>
      <c r="J39" s="112"/>
      <c r="K39" s="250" t="s">
        <v>203</v>
      </c>
      <c r="L39" s="44" t="s">
        <v>170</v>
      </c>
      <c r="M39" s="44">
        <f>INDEX($E$4:$N$19,MATCH(F38,$E$4:$E$19, 0),3)</f>
        <v>0.2</v>
      </c>
      <c r="N39" s="65">
        <f>INDEX($E$4:$N$19,MATCH(F38,$E$4:$E$19, 0),4)</f>
        <v>0</v>
      </c>
      <c r="Q39" s="255" t="s">
        <v>242</v>
      </c>
      <c r="R39" s="675" t="str">
        <f>F39</f>
        <v>Dybstrøelse, lang ædeplads med spalter (kanal, bagskyl eller ringkanal)</v>
      </c>
      <c r="S39" s="192"/>
      <c r="T39" s="192"/>
      <c r="U39" s="192"/>
      <c r="V39" s="243"/>
      <c r="W39" s="44" t="s">
        <v>170</v>
      </c>
      <c r="X39" s="44">
        <f>INDEX($E$22:$N$24,MATCH(R40,$E$22:$E$24, 0),3)</f>
        <v>0.5</v>
      </c>
      <c r="Y39" s="65">
        <f>INDEX($E$22:$N$24,MATCH(R40,$E$22:$E$24, 0),4)</f>
        <v>0</v>
      </c>
      <c r="Z39" s="139"/>
      <c r="AA39" s="302"/>
      <c r="AC39" s="483"/>
      <c r="AD39" s="137" t="s">
        <v>82</v>
      </c>
      <c r="AE39" s="576">
        <f>'CH4_Gylle_Stald&amp;Lager'!AJ38</f>
        <v>7</v>
      </c>
      <c r="AF39" s="56" t="s">
        <v>203</v>
      </c>
      <c r="AG39" s="106"/>
      <c r="AH39" s="676" t="s">
        <v>30</v>
      </c>
      <c r="AI39" s="112"/>
      <c r="AJ39" s="112"/>
      <c r="AK39" s="112"/>
      <c r="AL39" s="112"/>
      <c r="AM39" s="250" t="s">
        <v>203</v>
      </c>
      <c r="AN39" s="44" t="s">
        <v>170</v>
      </c>
      <c r="AO39" s="44">
        <f>INDEX($E$4:$N$19,MATCH(AH38,$E$4:$E$19, 0),3)</f>
        <v>0.2</v>
      </c>
      <c r="AP39" s="65">
        <f>INDEX($E$4:$N$19,MATCH(AH38,$E$4:$E$19, 0),4)</f>
        <v>0</v>
      </c>
      <c r="AS39" s="255" t="s">
        <v>242</v>
      </c>
      <c r="AT39" s="675" t="str">
        <f>AH39</f>
        <v>Dybstrøelse, lang ædeplads med spalter (kanal, bagskyl eller ringkanal)</v>
      </c>
      <c r="AU39" s="192"/>
      <c r="AV39" s="192"/>
      <c r="AW39" s="192"/>
      <c r="AX39" s="243"/>
      <c r="AY39" s="44" t="s">
        <v>170</v>
      </c>
      <c r="AZ39" s="44">
        <f>INDEX($E$22:$N$24,MATCH(AT40,$E$22:$E$24, 0),3)</f>
        <v>0.5</v>
      </c>
      <c r="BA39" s="65">
        <f>INDEX($E$22:$N$24,MATCH(AT40,$E$22:$E$24, 0),4)</f>
        <v>0</v>
      </c>
      <c r="BB39" s="139"/>
      <c r="BC39" s="483"/>
      <c r="BF39" s="591"/>
      <c r="BG39" s="424" t="s">
        <v>560</v>
      </c>
      <c r="BH39" s="271"/>
      <c r="BI39" s="271"/>
      <c r="BJ39" s="454" t="s">
        <v>560</v>
      </c>
    </row>
    <row r="40" spans="1:63" x14ac:dyDescent="0.25">
      <c r="A40" s="303"/>
      <c r="B40" s="138"/>
      <c r="C40" s="568"/>
      <c r="D40" s="56" t="s">
        <v>203</v>
      </c>
      <c r="E40" s="43"/>
      <c r="F40" s="294" t="s">
        <v>5</v>
      </c>
      <c r="G40" s="295" t="s">
        <v>6</v>
      </c>
      <c r="H40" s="296" t="s">
        <v>356</v>
      </c>
      <c r="I40" s="44"/>
      <c r="J40" s="44"/>
      <c r="K40" s="251" t="s">
        <v>203</v>
      </c>
      <c r="L40" s="44" t="s">
        <v>2</v>
      </c>
      <c r="M40" s="44"/>
      <c r="N40" s="65">
        <f>INDEX($E$4:$N$19,MATCH(F38,$E$4:$E$19, 0),7)</f>
        <v>0</v>
      </c>
      <c r="Q40" s="255" t="s">
        <v>360</v>
      </c>
      <c r="R40" s="675" t="s">
        <v>127</v>
      </c>
      <c r="S40" s="192"/>
      <c r="T40" s="192"/>
      <c r="U40" s="192"/>
      <c r="V40" s="243"/>
      <c r="W40" s="44" t="s">
        <v>1</v>
      </c>
      <c r="X40" s="44">
        <f>INDEX($E$22:$N$24,MATCH(R40,$E$22:$E$24, 0),6)</f>
        <v>3.4</v>
      </c>
      <c r="Y40" s="65"/>
      <c r="Z40" s="139"/>
      <c r="AA40" s="303"/>
      <c r="AC40" s="484"/>
      <c r="AD40" s="138"/>
      <c r="AE40" s="568"/>
      <c r="AF40" s="56" t="s">
        <v>203</v>
      </c>
      <c r="AG40" s="43"/>
      <c r="AH40" s="294" t="s">
        <v>5</v>
      </c>
      <c r="AI40" s="295" t="s">
        <v>6</v>
      </c>
      <c r="AJ40" s="296" t="s">
        <v>356</v>
      </c>
      <c r="AK40" s="44"/>
      <c r="AL40" s="44"/>
      <c r="AM40" s="251" t="s">
        <v>203</v>
      </c>
      <c r="AN40" s="44" t="s">
        <v>2</v>
      </c>
      <c r="AO40" s="44"/>
      <c r="AP40" s="65">
        <f>INDEX($E$4:$N$19,MATCH(AH38,$E$4:$E$19, 0),7)</f>
        <v>0</v>
      </c>
      <c r="AS40" s="255" t="s">
        <v>360</v>
      </c>
      <c r="AT40" s="675" t="s">
        <v>127</v>
      </c>
      <c r="AU40" s="192"/>
      <c r="AV40" s="192"/>
      <c r="AW40" s="192"/>
      <c r="AX40" s="243"/>
      <c r="AY40" s="44" t="s">
        <v>1</v>
      </c>
      <c r="AZ40" s="44">
        <f>INDEX($E$22:$N$24,MATCH(AT40,$E$22:$E$24, 0),6)</f>
        <v>3.4</v>
      </c>
      <c r="BA40" s="65"/>
      <c r="BB40" s="139"/>
      <c r="BC40" s="484"/>
      <c r="BF40" s="593" t="str">
        <f>'CH4_Gylle_Stald&amp;Lager'!AU39</f>
        <v>Malkekøer, tung race Kalve 0-1 mdr</v>
      </c>
      <c r="BG40" s="337"/>
      <c r="BH40" s="270">
        <f>SUM(G136:G137)</f>
        <v>5.8080550556962027</v>
      </c>
      <c r="BI40" s="270">
        <f>_xlfn.AGGREGATE(9,6,S120,S122)</f>
        <v>31.847501888734172</v>
      </c>
      <c r="BJ40" s="478">
        <f>SUM(BG40:BI40)</f>
        <v>37.655556944430373</v>
      </c>
    </row>
    <row r="41" spans="1:63" x14ac:dyDescent="0.25">
      <c r="A41" s="303"/>
      <c r="B41" s="229" t="s">
        <v>221</v>
      </c>
      <c r="C41" s="569"/>
      <c r="D41" s="56" t="s">
        <v>203</v>
      </c>
      <c r="E41" s="66" t="s">
        <v>101</v>
      </c>
      <c r="F41" s="304">
        <f>INDEX(Normtal!$Q$3:$AC$551,MATCH(B36,Normtal!$Q$3:$Q$551,0),3)</f>
        <v>161</v>
      </c>
      <c r="G41" s="281"/>
      <c r="H41" s="285">
        <f>INDEX(Normtal!$Q$3:$AC$551,MATCH(B36,Normtal!$Q$3:$Q$551,0),4)</f>
        <v>68.099999999999994</v>
      </c>
      <c r="I41" s="85"/>
      <c r="J41" s="44"/>
      <c r="K41" s="251" t="s">
        <v>203</v>
      </c>
      <c r="L41" s="44" t="s">
        <v>1</v>
      </c>
      <c r="M41" s="44">
        <f>INDEX($E$4:$N$19,MATCH(F38,$E$4:$E$19, 0),6)</f>
        <v>13.5</v>
      </c>
      <c r="N41" s="65"/>
      <c r="Q41" s="299" t="s">
        <v>359</v>
      </c>
      <c r="R41" s="676" t="s">
        <v>135</v>
      </c>
      <c r="S41" s="194"/>
      <c r="T41" s="194"/>
      <c r="U41" s="194"/>
      <c r="V41" s="241"/>
      <c r="W41" s="44" t="s">
        <v>2</v>
      </c>
      <c r="X41" s="44"/>
      <c r="Y41" s="65">
        <f>INDEX($E$22:$N$24,MATCH(R40,$E$22:$E$24, 0),7)</f>
        <v>2</v>
      </c>
      <c r="Z41" s="139"/>
      <c r="AA41" s="303"/>
      <c r="AC41" s="484"/>
      <c r="AD41" s="229" t="s">
        <v>221</v>
      </c>
      <c r="AE41" s="569"/>
      <c r="AF41" s="56" t="s">
        <v>203</v>
      </c>
      <c r="AG41" s="66" t="s">
        <v>101</v>
      </c>
      <c r="AH41" s="304">
        <f>INDEX(Normtal!$Q$3:$AC$551,MATCH(AD36,Normtal!$Q$3:$Q$551,0),3)</f>
        <v>133</v>
      </c>
      <c r="AI41" s="281"/>
      <c r="AJ41" s="285">
        <f>INDEX(Normtal!$Q$3:$AC$551,MATCH(AD36,Normtal!$Q$3:$Q$551,0),4)</f>
        <v>56.4</v>
      </c>
      <c r="AK41" s="85"/>
      <c r="AL41" s="44"/>
      <c r="AM41" s="251" t="s">
        <v>203</v>
      </c>
      <c r="AN41" s="44" t="s">
        <v>1</v>
      </c>
      <c r="AO41" s="44">
        <f>INDEX($E$4:$N$19,MATCH(AH38,$E$4:$E$19, 0),6)</f>
        <v>13.5</v>
      </c>
      <c r="AP41" s="65"/>
      <c r="AS41" s="299" t="s">
        <v>359</v>
      </c>
      <c r="AT41" s="676" t="s">
        <v>135</v>
      </c>
      <c r="AU41" s="194"/>
      <c r="AV41" s="194"/>
      <c r="AW41" s="194"/>
      <c r="AX41" s="241"/>
      <c r="AY41" s="44" t="s">
        <v>2</v>
      </c>
      <c r="AZ41" s="44"/>
      <c r="BA41" s="65">
        <f>INDEX($E$22:$N$24,MATCH(AT40,$E$22:$E$24, 0),7)</f>
        <v>2</v>
      </c>
      <c r="BB41" s="139"/>
      <c r="BC41" s="484"/>
      <c r="BF41" s="593" t="str">
        <f>'CH4_Gylle_Stald&amp;Lager'!AU40</f>
        <v>Malkekøer, tung race Kalve 0-3 mdr.</v>
      </c>
      <c r="BG41" s="594"/>
      <c r="BH41" s="594"/>
      <c r="BI41" s="594"/>
      <c r="BJ41" s="595"/>
    </row>
    <row r="42" spans="1:63" x14ac:dyDescent="0.25">
      <c r="A42" s="303"/>
      <c r="B42" s="231" t="s">
        <v>224</v>
      </c>
      <c r="C42" s="574">
        <f>'CH4_Gylle_Stald&amp;Lager'!X41</f>
        <v>0.68</v>
      </c>
      <c r="D42" s="56" t="s">
        <v>203</v>
      </c>
      <c r="E42" s="66" t="s">
        <v>103</v>
      </c>
      <c r="F42" s="305">
        <f>F41*(C38/365)*(C39/24)</f>
        <v>19.297945205479451</v>
      </c>
      <c r="G42" s="281"/>
      <c r="H42" s="285">
        <f>H41*(C38/365)*(C39/24)</f>
        <v>8.1626712328767113</v>
      </c>
      <c r="I42" s="44" t="s">
        <v>357</v>
      </c>
      <c r="J42" s="44"/>
      <c r="K42" s="251" t="s">
        <v>203</v>
      </c>
      <c r="L42" s="175" t="s">
        <v>237</v>
      </c>
      <c r="M42" s="44"/>
      <c r="N42" s="65"/>
      <c r="Q42" s="118"/>
      <c r="R42" s="119"/>
      <c r="S42" s="119"/>
      <c r="T42" s="119"/>
      <c r="U42" s="119"/>
      <c r="V42" s="124"/>
      <c r="W42" s="56" t="s">
        <v>177</v>
      </c>
      <c r="X42" s="310">
        <f>$J$26</f>
        <v>0.5</v>
      </c>
      <c r="Z42" s="139"/>
      <c r="AA42" s="303"/>
      <c r="AC42" s="484"/>
      <c r="AD42" s="231" t="s">
        <v>224</v>
      </c>
      <c r="AE42" s="574">
        <f>'CH4_Gylle_Stald&amp;Lager'!AJ41</f>
        <v>0.67</v>
      </c>
      <c r="AF42" s="56" t="s">
        <v>203</v>
      </c>
      <c r="AG42" s="66" t="s">
        <v>103</v>
      </c>
      <c r="AH42" s="305">
        <f>AH41*(AE38/365)*(AE39/24)</f>
        <v>15.941780821917808</v>
      </c>
      <c r="AI42" s="281"/>
      <c r="AJ42" s="285">
        <f>AJ41*(AE38/365)*(AE39/24)</f>
        <v>6.7602739726027394</v>
      </c>
      <c r="AK42" s="44" t="s">
        <v>357</v>
      </c>
      <c r="AL42" s="44"/>
      <c r="AM42" s="251" t="s">
        <v>203</v>
      </c>
      <c r="AN42" s="175" t="s">
        <v>237</v>
      </c>
      <c r="AO42" s="44"/>
      <c r="AP42" s="65"/>
      <c r="AS42" s="118"/>
      <c r="AT42" s="119"/>
      <c r="AU42" s="119"/>
      <c r="AV42" s="119"/>
      <c r="AW42" s="119"/>
      <c r="AX42" s="124"/>
      <c r="AY42" s="56" t="s">
        <v>177</v>
      </c>
      <c r="AZ42" s="310">
        <f>$J$26</f>
        <v>0.5</v>
      </c>
      <c r="BB42" s="139"/>
      <c r="BC42" s="484"/>
      <c r="BF42" s="276" t="str">
        <f>'CH4_Gylle_Stald&amp;Lager'!AU41</f>
        <v>Malkekøer, tung race Kalve 0-6 mdr.</v>
      </c>
      <c r="BG42" s="338"/>
      <c r="BH42" s="321">
        <f>SUM(G190:G191)</f>
        <v>131.2646752234177</v>
      </c>
      <c r="BI42" s="321">
        <f>_xlfn.AGGREGATE(9,6,S174,S176)</f>
        <v>40.701709283995243</v>
      </c>
      <c r="BJ42" s="454">
        <f>SUM(BG42:BI42)</f>
        <v>171.96638450741295</v>
      </c>
    </row>
    <row r="43" spans="1:63" x14ac:dyDescent="0.25">
      <c r="A43" s="303"/>
      <c r="B43" s="233" t="s">
        <v>223</v>
      </c>
      <c r="C43" s="570">
        <f>(365-C38*C39/24)*C42</f>
        <v>218.45000000000002</v>
      </c>
      <c r="D43" s="254" t="s">
        <v>203</v>
      </c>
      <c r="E43" s="66" t="s">
        <v>104</v>
      </c>
      <c r="F43" s="306">
        <f>F41-F42</f>
        <v>141.70205479452056</v>
      </c>
      <c r="G43" s="289"/>
      <c r="H43" s="287">
        <f>H41-H42</f>
        <v>59.937328767123283</v>
      </c>
      <c r="I43" s="44" t="s">
        <v>358</v>
      </c>
      <c r="J43" s="44"/>
      <c r="K43" s="251" t="s">
        <v>203</v>
      </c>
      <c r="L43" s="99" t="s">
        <v>170</v>
      </c>
      <c r="M43" s="85">
        <f>INDEX($E$4:$N$19,MATCH(F39,$E$4:$E$19, 0),3)</f>
        <v>0.2</v>
      </c>
      <c r="N43" s="186">
        <f>INDEX($E$4:$N$19,MATCH(F39,$E$4:$E$19, 0),4)</f>
        <v>1</v>
      </c>
      <c r="Q43" s="96" t="s">
        <v>139</v>
      </c>
      <c r="R43" s="85"/>
      <c r="S43" s="85"/>
      <c r="T43" s="85"/>
      <c r="U43" s="85"/>
      <c r="V43" s="186" t="s">
        <v>210</v>
      </c>
      <c r="W43" s="175" t="s">
        <v>364</v>
      </c>
      <c r="X43" s="44"/>
      <c r="Y43" s="65"/>
      <c r="Z43" s="139"/>
      <c r="AA43" s="303"/>
      <c r="AC43" s="484"/>
      <c r="AD43" s="233" t="s">
        <v>223</v>
      </c>
      <c r="AE43" s="570">
        <f>(365-AE38*AE39/24)*AE42</f>
        <v>215.23750000000001</v>
      </c>
      <c r="AF43" s="254" t="s">
        <v>203</v>
      </c>
      <c r="AG43" s="66" t="s">
        <v>104</v>
      </c>
      <c r="AH43" s="306">
        <f>AH41-AH42</f>
        <v>117.0582191780822</v>
      </c>
      <c r="AI43" s="289"/>
      <c r="AJ43" s="287">
        <f>AJ41-AJ42</f>
        <v>49.639726027397259</v>
      </c>
      <c r="AK43" s="44" t="s">
        <v>358</v>
      </c>
      <c r="AL43" s="44"/>
      <c r="AM43" s="251" t="s">
        <v>203</v>
      </c>
      <c r="AN43" s="99" t="s">
        <v>170</v>
      </c>
      <c r="AO43" s="85">
        <f>INDEX($E$4:$N$19,MATCH(AH39,$E$4:$E$19, 0),3)</f>
        <v>0.2</v>
      </c>
      <c r="AP43" s="186">
        <f>INDEX($E$4:$N$19,MATCH(AH39,$E$4:$E$19, 0),4)</f>
        <v>1</v>
      </c>
      <c r="AS43" s="96" t="s">
        <v>139</v>
      </c>
      <c r="AT43" s="85"/>
      <c r="AU43" s="85"/>
      <c r="AV43" s="85"/>
      <c r="AW43" s="85"/>
      <c r="AX43" s="186" t="s">
        <v>210</v>
      </c>
      <c r="AY43" s="175" t="s">
        <v>364</v>
      </c>
      <c r="AZ43" s="44"/>
      <c r="BA43" s="65"/>
      <c r="BB43" s="139"/>
      <c r="BC43" s="484"/>
      <c r="BF43" s="592" t="str">
        <f>'CH4_Gylle_Stald&amp;Lager'!AU42</f>
        <v>Malkekøer, tung race Kvier u. 18. mdr.</v>
      </c>
      <c r="BG43" s="339">
        <f>SUM(G239:G241)</f>
        <v>33.83469080298422</v>
      </c>
      <c r="BH43" s="272">
        <f>SUM(G244:G245)</f>
        <v>53.434189024897634</v>
      </c>
      <c r="BI43" s="272">
        <f>_xlfn.AGGREGATE(9,6,S228,S230)</f>
        <v>37.117257867735155</v>
      </c>
      <c r="BJ43" s="480">
        <f>SUM(BG43:BI43)+$BJ$42</f>
        <v>296.35252220302993</v>
      </c>
    </row>
    <row r="44" spans="1:63" x14ac:dyDescent="0.25">
      <c r="A44" s="303"/>
      <c r="B44" s="231" t="s">
        <v>222</v>
      </c>
      <c r="C44" s="573"/>
      <c r="D44" s="56" t="s">
        <v>203</v>
      </c>
      <c r="E44" s="66"/>
      <c r="F44" s="677" t="s">
        <v>268</v>
      </c>
      <c r="G44" s="221"/>
      <c r="H44" s="291"/>
      <c r="I44" s="44"/>
      <c r="J44" s="44"/>
      <c r="K44" s="65"/>
      <c r="L44" s="85" t="s">
        <v>2</v>
      </c>
      <c r="M44" s="85"/>
      <c r="N44" s="186">
        <f>INDEX($E$4:$N$19,MATCH(F39,$E$4:$E$19, 0),7)</f>
        <v>6</v>
      </c>
      <c r="Q44" s="66"/>
      <c r="R44" s="44"/>
      <c r="S44" s="44"/>
      <c r="T44" s="85"/>
      <c r="U44" s="85"/>
      <c r="V44" s="186" t="s">
        <v>210</v>
      </c>
      <c r="W44" s="99" t="s">
        <v>170</v>
      </c>
      <c r="X44" s="85">
        <f>INDEX($E$22:$N$24,MATCH(R41,$E$22:$E$24, 0),3)</f>
        <v>0</v>
      </c>
      <c r="Y44" s="186">
        <f>INDEX($E$22:$N$24,MATCH(R41,$E$22:$E$24, 0),4)</f>
        <v>1</v>
      </c>
      <c r="Z44" s="139"/>
      <c r="AA44" s="303"/>
      <c r="AC44" s="484"/>
      <c r="AD44" s="231" t="s">
        <v>222</v>
      </c>
      <c r="AE44" s="573"/>
      <c r="AF44" s="56" t="s">
        <v>203</v>
      </c>
      <c r="AG44" s="66"/>
      <c r="AH44" s="677" t="s">
        <v>628</v>
      </c>
      <c r="AI44" s="221"/>
      <c r="AJ44" s="291"/>
      <c r="AK44" s="44"/>
      <c r="AL44" s="44"/>
      <c r="AM44" s="65"/>
      <c r="AN44" s="85" t="s">
        <v>2</v>
      </c>
      <c r="AO44" s="85"/>
      <c r="AP44" s="186">
        <f>INDEX($E$4:$N$19,MATCH(AH39,$E$4:$E$19, 0),7)</f>
        <v>6</v>
      </c>
      <c r="AS44" s="66"/>
      <c r="AT44" s="44"/>
      <c r="AU44" s="44"/>
      <c r="AV44" s="85"/>
      <c r="AW44" s="85"/>
      <c r="AX44" s="186" t="s">
        <v>210</v>
      </c>
      <c r="AY44" s="99" t="s">
        <v>170</v>
      </c>
      <c r="AZ44" s="85">
        <f>INDEX($E$22:$N$24,MATCH(AT41,$E$22:$E$24, 0),3)</f>
        <v>0</v>
      </c>
      <c r="BA44" s="186">
        <f>INDEX($E$22:$N$24,MATCH(AT41,$E$22:$E$24, 0),4)</f>
        <v>1</v>
      </c>
      <c r="BB44" s="139"/>
      <c r="BC44" s="484"/>
      <c r="BF44" s="592" t="str">
        <f>'CH4_Gylle_Stald&amp;Lager'!AU43</f>
        <v>Malkekøer, tung race Kvier o. 18. mdr.</v>
      </c>
      <c r="BG44" s="339">
        <f>SUM(G293:G295)</f>
        <v>41.51868911341279</v>
      </c>
      <c r="BH44" s="272">
        <f>SUM(G297:G299)</f>
        <v>64.781808165511947</v>
      </c>
      <c r="BI44" s="272">
        <f>_xlfn.AGGREGATE(9,6,S282,S284)</f>
        <v>44.637210083180214</v>
      </c>
      <c r="BJ44" s="480">
        <f>SUM(BG44:BI44)+$BJ$42</f>
        <v>322.90409186951791</v>
      </c>
    </row>
    <row r="45" spans="1:63" x14ac:dyDescent="0.25">
      <c r="A45" s="303"/>
      <c r="B45" s="231" t="s">
        <v>224</v>
      </c>
      <c r="C45" s="571">
        <f>1-C42</f>
        <v>0.31999999999999995</v>
      </c>
      <c r="D45" s="56" t="s">
        <v>203</v>
      </c>
      <c r="E45" s="66" t="s">
        <v>232</v>
      </c>
      <c r="F45" s="305">
        <f>F43*C42*1</f>
        <v>96.357397260273984</v>
      </c>
      <c r="G45" s="281"/>
      <c r="H45" s="286"/>
      <c r="I45" s="246" t="str">
        <f>INDEX($E$4:$N$19,MATCH(F38,$E$4:$E$19, 0),2)</f>
        <v>100% gyllesystem</v>
      </c>
      <c r="J45" s="246"/>
      <c r="K45" s="251" t="s">
        <v>203</v>
      </c>
      <c r="L45" s="99" t="s">
        <v>1</v>
      </c>
      <c r="M45" s="85">
        <f>INDEX($E$4:$N$19,MATCH(F39,$E$4:$E$19, 0),6)</f>
        <v>13.5</v>
      </c>
      <c r="N45" s="65"/>
      <c r="Q45" s="211" t="s">
        <v>371</v>
      </c>
      <c r="R45" s="85" t="s">
        <v>10</v>
      </c>
      <c r="S45" s="176">
        <f>_xlfn.AGGREGATE(9,6, F45:G45)</f>
        <v>96.357397260273984</v>
      </c>
      <c r="T45" s="85"/>
      <c r="U45" s="44"/>
      <c r="V45" s="65"/>
      <c r="W45" s="99" t="s">
        <v>1</v>
      </c>
      <c r="X45" s="85">
        <f>INDEX($E$22:$N$24,MATCH(R41,$E$22:$E$24, 0),6)</f>
        <v>0</v>
      </c>
      <c r="Y45" s="186"/>
      <c r="Z45" s="139"/>
      <c r="AA45" s="303"/>
      <c r="AC45" s="484"/>
      <c r="AD45" s="231" t="s">
        <v>224</v>
      </c>
      <c r="AE45" s="571">
        <f>1-AE42</f>
        <v>0.32999999999999996</v>
      </c>
      <c r="AF45" s="56" t="s">
        <v>203</v>
      </c>
      <c r="AG45" s="66" t="s">
        <v>232</v>
      </c>
      <c r="AH45" s="305">
        <f>AH43*AE42*1</f>
        <v>78.429006849315073</v>
      </c>
      <c r="AI45" s="281"/>
      <c r="AJ45" s="286"/>
      <c r="AK45" s="246" t="str">
        <f>INDEX($E$4:$N$19,MATCH(AH38,$E$4:$E$19, 0),2)</f>
        <v>100% gyllesystem</v>
      </c>
      <c r="AL45" s="246"/>
      <c r="AM45" s="251" t="s">
        <v>203</v>
      </c>
      <c r="AN45" s="99" t="s">
        <v>1</v>
      </c>
      <c r="AO45" s="85">
        <f>INDEX($E$4:$N$19,MATCH(AH39,$E$4:$E$19, 0),6)</f>
        <v>13.5</v>
      </c>
      <c r="AP45" s="65"/>
      <c r="AS45" s="211" t="s">
        <v>371</v>
      </c>
      <c r="AT45" s="85" t="s">
        <v>10</v>
      </c>
      <c r="AU45" s="176">
        <f>_xlfn.AGGREGATE(9,6, AH45:AI45)</f>
        <v>78.429006849315073</v>
      </c>
      <c r="AV45" s="85"/>
      <c r="AW45" s="44"/>
      <c r="AX45" s="65"/>
      <c r="AY45" s="99" t="s">
        <v>1</v>
      </c>
      <c r="AZ45" s="85">
        <f>INDEX($E$22:$N$24,MATCH(AT41,$E$22:$E$24, 0),6)</f>
        <v>0</v>
      </c>
      <c r="BA45" s="186"/>
      <c r="BB45" s="139"/>
      <c r="BC45" s="484"/>
      <c r="BF45" s="592" t="str">
        <f>'CH4_Gylle_Stald&amp;Lager'!AU44</f>
        <v>Malkekøer, tung race Stude</v>
      </c>
      <c r="BG45" s="339">
        <f>SUM(G347:G349)</f>
        <v>41.51868911341279</v>
      </c>
      <c r="BH45" s="272">
        <f>SUM(G351:G353)</f>
        <v>64.781808165511947</v>
      </c>
      <c r="BI45" s="272">
        <f>_xlfn.AGGREGATE(9,6,S336,S338)</f>
        <v>44.521459310644559</v>
      </c>
      <c r="BJ45" s="480">
        <f>SUM(BG45:BI45)+$BJ$42</f>
        <v>322.78834109698226</v>
      </c>
    </row>
    <row r="46" spans="1:63" x14ac:dyDescent="0.25">
      <c r="A46" s="302"/>
      <c r="B46" s="233" t="s">
        <v>81</v>
      </c>
      <c r="C46" s="570">
        <f>(365-C38*C39/24)*C45</f>
        <v>102.79999999999998</v>
      </c>
      <c r="D46" s="56" t="s">
        <v>203</v>
      </c>
      <c r="E46" s="66" t="s">
        <v>102</v>
      </c>
      <c r="F46" s="305">
        <f>INDEX(Normtal!$Q$3:$AC$551,MATCH(F44,Normtal!$AA$3:$AA$551, 0),6)*C43/365</f>
        <v>0.37136500000000006</v>
      </c>
      <c r="G46" s="283"/>
      <c r="H46" s="286"/>
      <c r="I46" s="44"/>
      <c r="J46" s="44"/>
      <c r="K46" s="65"/>
      <c r="L46" s="175" t="s">
        <v>363</v>
      </c>
      <c r="M46" s="44"/>
      <c r="N46" s="65"/>
      <c r="Q46" s="211" t="s">
        <v>243</v>
      </c>
      <c r="R46" s="85" t="s">
        <v>10</v>
      </c>
      <c r="S46" s="176">
        <f>_xlfn.AGGREGATE(9,6, F46:G46)</f>
        <v>0.37136500000000006</v>
      </c>
      <c r="T46" s="85"/>
      <c r="U46" s="85"/>
      <c r="V46" s="186" t="s">
        <v>210</v>
      </c>
      <c r="W46" s="85" t="s">
        <v>2</v>
      </c>
      <c r="X46" s="85"/>
      <c r="Y46" s="186">
        <f>INDEX($E$22:$N$24,MATCH(R41,$E$22:$E$24, 0),7)</f>
        <v>3</v>
      </c>
      <c r="Z46" s="139"/>
      <c r="AA46" s="302"/>
      <c r="AC46" s="483"/>
      <c r="AD46" s="233" t="s">
        <v>81</v>
      </c>
      <c r="AE46" s="570">
        <f>(365-AE38*AE39/24)*AE45</f>
        <v>106.01249999999999</v>
      </c>
      <c r="AF46" s="56" t="s">
        <v>203</v>
      </c>
      <c r="AG46" s="66" t="s">
        <v>102</v>
      </c>
      <c r="AH46" s="305">
        <f>INDEX(Normtal!$Q$3:$AC$551,MATCH(AH44,Normtal!$AA$3:$AA$551, 0),6)*AE43/365</f>
        <v>0.27442781250000003</v>
      </c>
      <c r="AI46" s="283"/>
      <c r="AJ46" s="286"/>
      <c r="AK46" s="44"/>
      <c r="AL46" s="44"/>
      <c r="AM46" s="65"/>
      <c r="AN46" s="175" t="s">
        <v>363</v>
      </c>
      <c r="AO46" s="44"/>
      <c r="AP46" s="65"/>
      <c r="AS46" s="211" t="s">
        <v>243</v>
      </c>
      <c r="AT46" s="85" t="s">
        <v>10</v>
      </c>
      <c r="AU46" s="176">
        <f>_xlfn.AGGREGATE(9,6, AH46:AI46)</f>
        <v>0.27442781250000003</v>
      </c>
      <c r="AV46" s="85"/>
      <c r="AW46" s="85"/>
      <c r="AX46" s="186" t="s">
        <v>210</v>
      </c>
      <c r="AY46" s="85" t="s">
        <v>2</v>
      </c>
      <c r="AZ46" s="85"/>
      <c r="BA46" s="186">
        <f>INDEX($E$22:$N$24,MATCH(AT41,$E$22:$E$24, 0),7)</f>
        <v>3</v>
      </c>
      <c r="BB46" s="139"/>
      <c r="BC46" s="483"/>
      <c r="BF46" s="592" t="str">
        <f>'CH4_Gylle_Stald&amp;Lager'!AU45</f>
        <v>Malkekøer, tung race Køer -tk (1year)</v>
      </c>
      <c r="BG46" s="339">
        <f>SUM(G77:G79)</f>
        <v>33.507689969178088</v>
      </c>
      <c r="BH46" s="272">
        <f>SUM(G82:G83)</f>
        <v>255.60245991123284</v>
      </c>
      <c r="BI46" s="272">
        <f>_xlfn.AGGREGATE(9,6,S66,S68)</f>
        <v>273.44170663096764</v>
      </c>
      <c r="BJ46" s="481">
        <f>SUM(BG46:BI46)</f>
        <v>562.55185651137856</v>
      </c>
    </row>
    <row r="47" spans="1:63" x14ac:dyDescent="0.25">
      <c r="A47" s="302"/>
      <c r="C47" s="195"/>
      <c r="D47" s="56" t="s">
        <v>203</v>
      </c>
      <c r="E47" s="66" t="s">
        <v>235</v>
      </c>
      <c r="F47" s="307">
        <f>INDEX(Normtal!$Q$3:$AC$551,MATCH(F44,Normtal!$AA$3:$AA$551, 0),4)*C43/365</f>
        <v>40.757383561643834</v>
      </c>
      <c r="G47" s="247"/>
      <c r="H47" s="285">
        <f>H43*C42</f>
        <v>40.757383561643834</v>
      </c>
      <c r="I47" s="44"/>
      <c r="J47" s="44"/>
      <c r="K47" s="251"/>
      <c r="L47" s="44" t="s">
        <v>362</v>
      </c>
      <c r="M47" s="44">
        <f>$J$26</f>
        <v>0.5</v>
      </c>
      <c r="N47" s="65"/>
      <c r="Q47" s="211" t="s">
        <v>365</v>
      </c>
      <c r="R47" s="85" t="s">
        <v>10</v>
      </c>
      <c r="S47" s="176">
        <f>-_xlfn.AGGREGATE(9,6,G63:G64)</f>
        <v>-0.19345752452054796</v>
      </c>
      <c r="T47" s="85"/>
      <c r="U47" s="85"/>
      <c r="V47" s="186" t="s">
        <v>210</v>
      </c>
      <c r="W47" s="86" t="s">
        <v>363</v>
      </c>
      <c r="X47" s="85"/>
      <c r="Y47" s="186"/>
      <c r="Z47" s="139"/>
      <c r="AA47" s="302"/>
      <c r="AC47" s="483"/>
      <c r="AE47" s="195"/>
      <c r="AF47" s="56" t="s">
        <v>203</v>
      </c>
      <c r="AG47" s="66" t="s">
        <v>235</v>
      </c>
      <c r="AH47" s="307">
        <f>INDEX(Normtal!$Q$3:$AC$551,MATCH(AH44,Normtal!$AA$3:$AA$551, 0),4)*AE43/365</f>
        <v>33.258616438356164</v>
      </c>
      <c r="AI47" s="247"/>
      <c r="AJ47" s="285">
        <f>AJ43*AE42</f>
        <v>33.258616438356164</v>
      </c>
      <c r="AK47" s="44"/>
      <c r="AL47" s="44"/>
      <c r="AM47" s="251"/>
      <c r="AN47" s="44" t="s">
        <v>362</v>
      </c>
      <c r="AO47" s="44">
        <f>$J$26</f>
        <v>0.5</v>
      </c>
      <c r="AP47" s="65"/>
      <c r="AS47" s="211" t="s">
        <v>365</v>
      </c>
      <c r="AT47" s="85" t="s">
        <v>10</v>
      </c>
      <c r="AU47" s="176">
        <f>-_xlfn.AGGREGATE(9,6,AI63:AI64)</f>
        <v>-0.15740686932363013</v>
      </c>
      <c r="AV47" s="85"/>
      <c r="AW47" s="85"/>
      <c r="AX47" s="186" t="s">
        <v>210</v>
      </c>
      <c r="AY47" s="86" t="s">
        <v>363</v>
      </c>
      <c r="AZ47" s="85"/>
      <c r="BA47" s="186"/>
      <c r="BB47" s="139"/>
      <c r="BC47" s="483"/>
      <c r="BF47" s="593" t="str">
        <f>'CH4_Gylle_Stald&amp;Lager'!AU46</f>
        <v>Malkekøer, tung race Tyrekalve 0-1 mdr.</v>
      </c>
      <c r="BG47" s="337"/>
      <c r="BH47" s="270">
        <f>SUM(G405:G407)</f>
        <v>0.29076016832876717</v>
      </c>
      <c r="BI47" s="270">
        <f>_xlfn.AGGREGATE(9,6,S390,S392)</f>
        <v>1.5943349230027395</v>
      </c>
      <c r="BJ47" s="478">
        <f>SUM(BG47:BI47)</f>
        <v>1.8850950913315065</v>
      </c>
    </row>
    <row r="48" spans="1:63" ht="30" x14ac:dyDescent="0.25">
      <c r="A48" s="302"/>
      <c r="B48" s="257" t="s">
        <v>245</v>
      </c>
      <c r="C48" s="572">
        <f>'CH4_Gylle_Stald&amp;Lager'!X47</f>
        <v>0.3</v>
      </c>
      <c r="D48" s="56" t="s">
        <v>203</v>
      </c>
      <c r="E48" s="66"/>
      <c r="F48" s="290"/>
      <c r="G48" s="290"/>
      <c r="H48" s="292"/>
      <c r="I48" s="44"/>
      <c r="J48" s="44"/>
      <c r="K48" s="251" t="s">
        <v>203</v>
      </c>
      <c r="L48" s="44" t="s">
        <v>171</v>
      </c>
      <c r="M48" s="44">
        <f>$J$27</f>
        <v>-0.5</v>
      </c>
      <c r="N48" s="65"/>
      <c r="Q48" s="211" t="s">
        <v>367</v>
      </c>
      <c r="R48" s="85" t="s">
        <v>10</v>
      </c>
      <c r="S48" s="176">
        <f>-_xlfn.AGGREGATE(9,6,G65,G66)</f>
        <v>-5.5022467808219178</v>
      </c>
      <c r="T48" s="85"/>
      <c r="U48" s="85"/>
      <c r="V48" s="186"/>
      <c r="W48" s="99" t="s">
        <v>171</v>
      </c>
      <c r="X48" s="85">
        <f>$J$27</f>
        <v>-0.5</v>
      </c>
      <c r="Y48" s="186"/>
      <c r="Z48" s="139"/>
      <c r="AA48" s="302"/>
      <c r="AC48" s="483"/>
      <c r="AD48" s="257" t="s">
        <v>245</v>
      </c>
      <c r="AE48" s="572">
        <f>'CH4_Gylle_Stald&amp;Lager'!AJ47</f>
        <v>0.3</v>
      </c>
      <c r="AF48" s="56" t="s">
        <v>203</v>
      </c>
      <c r="AG48" s="66"/>
      <c r="AH48" s="290"/>
      <c r="AI48" s="290"/>
      <c r="AJ48" s="292"/>
      <c r="AK48" s="44"/>
      <c r="AL48" s="44"/>
      <c r="AM48" s="251" t="s">
        <v>203</v>
      </c>
      <c r="AN48" s="44" t="s">
        <v>171</v>
      </c>
      <c r="AO48" s="44">
        <f>$J$27</f>
        <v>-0.5</v>
      </c>
      <c r="AP48" s="65"/>
      <c r="AS48" s="211" t="s">
        <v>367</v>
      </c>
      <c r="AT48" s="85" t="s">
        <v>10</v>
      </c>
      <c r="AU48" s="176">
        <f>-_xlfn.AGGREGATE(9,6,AI65,AI66)</f>
        <v>-4.4899132191780815</v>
      </c>
      <c r="AV48" s="85"/>
      <c r="AW48" s="85"/>
      <c r="AX48" s="186"/>
      <c r="AY48" s="99" t="s">
        <v>171</v>
      </c>
      <c r="AZ48" s="85">
        <f>$J$27</f>
        <v>-0.5</v>
      </c>
      <c r="BA48" s="186"/>
      <c r="BB48" s="139"/>
      <c r="BC48" s="483"/>
      <c r="BF48" s="593" t="str">
        <f>'CH4_Gylle_Stald&amp;Lager'!AU47</f>
        <v>Malkekøer, tung race Tyrekalve 0-3 mdr.</v>
      </c>
      <c r="BG48" s="594"/>
      <c r="BH48" s="594"/>
      <c r="BI48" s="594"/>
      <c r="BJ48" s="595"/>
    </row>
    <row r="49" spans="1:62" x14ac:dyDescent="0.25">
      <c r="A49" s="302"/>
      <c r="C49" s="195"/>
      <c r="D49" s="56" t="s">
        <v>203</v>
      </c>
      <c r="E49" s="66"/>
      <c r="F49" s="677" t="s">
        <v>269</v>
      </c>
      <c r="G49" s="677" t="s">
        <v>270</v>
      </c>
      <c r="H49" s="284"/>
      <c r="I49" s="44" t="s">
        <v>203</v>
      </c>
      <c r="J49" s="44"/>
      <c r="K49" s="65"/>
      <c r="L49" s="293" t="s">
        <v>238</v>
      </c>
      <c r="M49" s="44"/>
      <c r="N49" s="65"/>
      <c r="Q49" s="455"/>
      <c r="R49" s="84"/>
      <c r="S49" s="94"/>
      <c r="T49" s="85"/>
      <c r="U49" s="85"/>
      <c r="V49" s="186" t="s">
        <v>210</v>
      </c>
      <c r="W49" s="85" t="s">
        <v>177</v>
      </c>
      <c r="X49" s="85">
        <f>$J$26</f>
        <v>0.5</v>
      </c>
      <c r="Y49" s="186"/>
      <c r="Z49" s="139"/>
      <c r="AA49" s="302"/>
      <c r="AC49" s="483"/>
      <c r="AF49" s="56" t="s">
        <v>203</v>
      </c>
      <c r="AG49" s="66"/>
      <c r="AH49" s="677" t="s">
        <v>595</v>
      </c>
      <c r="AI49" s="677" t="s">
        <v>596</v>
      </c>
      <c r="AJ49" s="284"/>
      <c r="AK49" s="44" t="s">
        <v>203</v>
      </c>
      <c r="AL49" s="44"/>
      <c r="AM49" s="65"/>
      <c r="AN49" s="293" t="s">
        <v>238</v>
      </c>
      <c r="AO49" s="44"/>
      <c r="AP49" s="65"/>
      <c r="AS49" s="455"/>
      <c r="AT49" s="84"/>
      <c r="AU49" s="94"/>
      <c r="AV49" s="85"/>
      <c r="AW49" s="85"/>
      <c r="AX49" s="186" t="s">
        <v>210</v>
      </c>
      <c r="AY49" s="85" t="s">
        <v>177</v>
      </c>
      <c r="AZ49" s="85">
        <f>$J$26</f>
        <v>0.5</v>
      </c>
      <c r="BA49" s="186"/>
      <c r="BB49" s="139"/>
      <c r="BC49" s="483"/>
      <c r="BF49" s="276" t="str">
        <f>'CH4_Gylle_Stald&amp;Lager'!AU48</f>
        <v>Malkekøer, tung race Tyrekalve 0-6 mdr.</v>
      </c>
      <c r="BG49" s="338"/>
      <c r="BH49" s="321">
        <f>SUM(G459:G461)</f>
        <v>67.279533749999985</v>
      </c>
      <c r="BI49" s="321">
        <f>_xlfn.AGGREGATE(9,6,S444,S446)</f>
        <v>21.053441784374996</v>
      </c>
      <c r="BJ49" s="454">
        <f>SUM(BG49:BI49)</f>
        <v>88.332975534374981</v>
      </c>
    </row>
    <row r="50" spans="1:62" x14ac:dyDescent="0.25">
      <c r="A50" s="302"/>
      <c r="B50" s="77" t="s">
        <v>226</v>
      </c>
      <c r="C50" s="236">
        <f>C38*C39/24+C43+C46</f>
        <v>365</v>
      </c>
      <c r="D50" s="56" t="s">
        <v>203</v>
      </c>
      <c r="E50" s="66" t="s">
        <v>233</v>
      </c>
      <c r="F50" s="305">
        <f>F43*C45*0.4</f>
        <v>18.137863013698631</v>
      </c>
      <c r="G50" s="247">
        <f>F43*C45*0.6</f>
        <v>27.206794520547941</v>
      </c>
      <c r="H50" s="286"/>
      <c r="I50" s="246" t="str">
        <f>INDEX($E$4:$N$19,MATCH(F39,$E$4:$E$19, 0),2)</f>
        <v>60 % dybstrøelsessystem - 40 % gyllesystem</v>
      </c>
      <c r="J50" s="246"/>
      <c r="K50" s="65"/>
      <c r="L50" s="85" t="s">
        <v>172</v>
      </c>
      <c r="M50" s="85">
        <f>INDEX($E$4:$N$19,MATCH(F37,$E$4:$E$19, 0),3)</f>
        <v>0.4</v>
      </c>
      <c r="N50" s="186"/>
      <c r="Q50" s="211" t="s">
        <v>372</v>
      </c>
      <c r="R50" s="44"/>
      <c r="S50" s="113">
        <f>_xlfn.AGGREGATE(9,6,F50:G50)</f>
        <v>45.344657534246572</v>
      </c>
      <c r="T50" s="44"/>
      <c r="U50" s="44"/>
      <c r="V50" s="65"/>
      <c r="W50" s="44"/>
      <c r="X50" s="44"/>
      <c r="Y50" s="65"/>
      <c r="Z50" s="139"/>
      <c r="AA50" s="302"/>
      <c r="AC50" s="483"/>
      <c r="AD50" s="77" t="s">
        <v>226</v>
      </c>
      <c r="AE50" s="236">
        <f>AE38*AE39/24+AE43+AE46</f>
        <v>365</v>
      </c>
      <c r="AF50" s="56" t="s">
        <v>203</v>
      </c>
      <c r="AG50" s="66" t="s">
        <v>233</v>
      </c>
      <c r="AH50" s="305">
        <f>AH43*AE45*0.4</f>
        <v>15.451684931506847</v>
      </c>
      <c r="AI50" s="247">
        <f>AH43*AE45*0.6</f>
        <v>23.17752739726027</v>
      </c>
      <c r="AJ50" s="286"/>
      <c r="AK50" s="246" t="str">
        <f>INDEX($E$4:$N$19,MATCH(AH39,$E$4:$E$19, 0),2)</f>
        <v>60 % dybstrøelsessystem - 40 % gyllesystem</v>
      </c>
      <c r="AL50" s="246"/>
      <c r="AM50" s="65"/>
      <c r="AN50" s="85" t="s">
        <v>172</v>
      </c>
      <c r="AO50" s="85">
        <f>INDEX($E$4:$N$19,MATCH(AH37,$E$4:$E$19, 0),3)</f>
        <v>0.4</v>
      </c>
      <c r="AP50" s="186"/>
      <c r="AS50" s="211" t="s">
        <v>372</v>
      </c>
      <c r="AT50" s="44"/>
      <c r="AU50" s="113">
        <f>_xlfn.AGGREGATE(9,6,AH50:AI50)</f>
        <v>38.629212328767117</v>
      </c>
      <c r="AV50" s="44"/>
      <c r="AW50" s="44"/>
      <c r="AX50" s="65"/>
      <c r="AY50" s="44"/>
      <c r="AZ50" s="44"/>
      <c r="BA50" s="65"/>
      <c r="BB50" s="139"/>
      <c r="BC50" s="483"/>
      <c r="BF50" s="592" t="str">
        <f>'CH4_Gylle_Stald&amp;Lager'!AU49</f>
        <v>Malkekøer, tung race Tyre u. 12 mdr.</v>
      </c>
      <c r="BG50" s="339">
        <f>SUM(G509:G511)</f>
        <v>0</v>
      </c>
      <c r="BH50" s="272">
        <f>SUM(G513:G515)</f>
        <v>68.57017707552167</v>
      </c>
      <c r="BI50" s="272">
        <f>_xlfn.AGGREGATE(9,6,S498,S500)</f>
        <v>38.632527576962353</v>
      </c>
      <c r="BJ50" s="480">
        <f>SUM(BG50:BI50)+$BJ$49</f>
        <v>195.535680186859</v>
      </c>
    </row>
    <row r="51" spans="1:62" x14ac:dyDescent="0.25">
      <c r="A51" s="302"/>
      <c r="B51" s="720"/>
      <c r="C51" s="245"/>
      <c r="D51" s="56" t="s">
        <v>203</v>
      </c>
      <c r="E51" s="117" t="s">
        <v>102</v>
      </c>
      <c r="F51" s="305">
        <f>INDEX(Normtal!$Q$3:$AC$551,MATCH(F49,Normtal!$AA$3:$AA$551, 0),6)*C46/365</f>
        <v>0</v>
      </c>
      <c r="G51" s="305">
        <f>INDEX(Normtal!$Q$3:$AC$551,MATCH(G49,Normtal!$AA$3:$AA$551, 0),6)*C46/365</f>
        <v>4.3689999999999998</v>
      </c>
      <c r="H51" s="286"/>
      <c r="I51" s="44"/>
      <c r="J51" s="44"/>
      <c r="K51" s="251" t="s">
        <v>203</v>
      </c>
      <c r="L51" s="85"/>
      <c r="M51" s="85"/>
      <c r="N51" s="186"/>
      <c r="Q51" s="211" t="s">
        <v>244</v>
      </c>
      <c r="R51" s="85" t="s">
        <v>10</v>
      </c>
      <c r="S51" s="113">
        <f>_xlfn.AGGREGATE(9,6,F51:G51)</f>
        <v>4.3689999999999998</v>
      </c>
      <c r="T51" s="44"/>
      <c r="U51" s="44"/>
      <c r="V51" s="65"/>
      <c r="W51" s="85" t="s">
        <v>159</v>
      </c>
      <c r="X51" s="85">
        <f>$U$20</f>
        <v>0.01</v>
      </c>
      <c r="Y51" s="186"/>
      <c r="Z51" s="139"/>
      <c r="AA51" s="302"/>
      <c r="AC51" s="483"/>
      <c r="AD51" s="720"/>
      <c r="AE51" s="245"/>
      <c r="AF51" s="56" t="s">
        <v>203</v>
      </c>
      <c r="AG51" s="117" t="s">
        <v>102</v>
      </c>
      <c r="AH51" s="305">
        <f>INDEX(Normtal!$Q$3:$AC$551,MATCH(AH49,Normtal!$AA$3:$AA$551, 0),6)*AE46/365</f>
        <v>0</v>
      </c>
      <c r="AI51" s="305">
        <f>INDEX(Normtal!$Q$3:$AC$551,MATCH(AI49,Normtal!$AA$3:$AA$551, 0),6)*AE46/365</f>
        <v>3.6044249999999995</v>
      </c>
      <c r="AJ51" s="286"/>
      <c r="AK51" s="44"/>
      <c r="AL51" s="44"/>
      <c r="AM51" s="251" t="s">
        <v>203</v>
      </c>
      <c r="AN51" s="85"/>
      <c r="AO51" s="85"/>
      <c r="AP51" s="186"/>
      <c r="AS51" s="211" t="s">
        <v>244</v>
      </c>
      <c r="AT51" s="85" t="s">
        <v>10</v>
      </c>
      <c r="AU51" s="113">
        <f>_xlfn.AGGREGATE(9,6,AH51:AI51)</f>
        <v>3.6044249999999995</v>
      </c>
      <c r="AV51" s="44"/>
      <c r="AW51" s="44"/>
      <c r="AX51" s="65"/>
      <c r="AY51" s="85" t="s">
        <v>159</v>
      </c>
      <c r="AZ51" s="85">
        <f>$U$20</f>
        <v>0.01</v>
      </c>
      <c r="BA51" s="186"/>
      <c r="BB51" s="139"/>
      <c r="BC51" s="483"/>
      <c r="BF51" s="592" t="str">
        <f>'CH4_Gylle_Stald&amp;Lager'!AU50</f>
        <v>Malkekøer, tung race Tyre o. 12 mdr.</v>
      </c>
      <c r="BG51" s="339">
        <f>SUM(G563:G565)</f>
        <v>0</v>
      </c>
      <c r="BH51" s="272">
        <f>SUM(G567:G569)</f>
        <v>104.26463906240531</v>
      </c>
      <c r="BI51" s="272">
        <f>_xlfn.AGGREGATE(9,6,S552,S554)</f>
        <v>59.250704283636423</v>
      </c>
      <c r="BJ51" s="480">
        <f>SUM(BG51:BI51)+$BJ$49</f>
        <v>251.84831888041671</v>
      </c>
    </row>
    <row r="52" spans="1:62" x14ac:dyDescent="0.25">
      <c r="A52" s="302"/>
      <c r="B52" s="720"/>
      <c r="C52" s="245"/>
      <c r="D52" s="56" t="s">
        <v>203</v>
      </c>
      <c r="E52" s="66" t="s">
        <v>234</v>
      </c>
      <c r="F52" s="307">
        <f>INDEX(Normtal!$Q$3:$AC$551,MATCH(F49,Normtal!$AA$3:$AA$551, 0),4)*C46/365</f>
        <v>7.6719780821917798</v>
      </c>
      <c r="G52" s="283"/>
      <c r="H52" s="285">
        <f>H43*C45*0.4</f>
        <v>7.6719780821917798</v>
      </c>
      <c r="I52" s="44"/>
      <c r="J52" s="44"/>
      <c r="K52" s="65"/>
      <c r="L52" s="85" t="s">
        <v>195</v>
      </c>
      <c r="M52" s="85"/>
      <c r="N52" s="201">
        <f>INDEX($E$4:$N$19,MATCH(F37,$E$4:$E$19, 0),7)</f>
        <v>0.21</v>
      </c>
      <c r="Q52" s="211" t="s">
        <v>368</v>
      </c>
      <c r="R52" s="85" t="s">
        <v>10</v>
      </c>
      <c r="S52" s="300">
        <f>-_xlfn.AGGREGATE(9,6,G68:G69)</f>
        <v>-0.32064869041095884</v>
      </c>
      <c r="T52" s="44"/>
      <c r="U52" s="44"/>
      <c r="V52" s="65"/>
      <c r="W52" s="44"/>
      <c r="X52" s="44"/>
      <c r="Y52" s="186"/>
      <c r="Z52" s="139"/>
      <c r="AA52" s="302"/>
      <c r="AC52" s="483"/>
      <c r="AD52" s="720"/>
      <c r="AE52" s="245"/>
      <c r="AF52" s="56" t="s">
        <v>203</v>
      </c>
      <c r="AG52" s="66" t="s">
        <v>234</v>
      </c>
      <c r="AH52" s="307">
        <f>INDEX(Normtal!$Q$3:$AC$551,MATCH(AH49,Normtal!$AA$3:$AA$551, 0),4)*AE46/365</f>
        <v>6.5524438356164376</v>
      </c>
      <c r="AI52" s="283"/>
      <c r="AJ52" s="285">
        <f>AJ43*AE45*0.4</f>
        <v>6.5524438356164367</v>
      </c>
      <c r="AK52" s="44"/>
      <c r="AL52" s="44"/>
      <c r="AM52" s="65"/>
      <c r="AN52" s="85" t="s">
        <v>195</v>
      </c>
      <c r="AO52" s="85"/>
      <c r="AP52" s="201">
        <f>INDEX($E$4:$N$19,MATCH(AH37,$E$4:$E$19, 0),7)</f>
        <v>0.21</v>
      </c>
      <c r="AS52" s="211" t="s">
        <v>368</v>
      </c>
      <c r="AT52" s="85" t="s">
        <v>10</v>
      </c>
      <c r="AU52" s="300">
        <f>-_xlfn.AGGREGATE(9,6,AI68:AI69)</f>
        <v>-0.27314752343321913</v>
      </c>
      <c r="AV52" s="44"/>
      <c r="AW52" s="44"/>
      <c r="AX52" s="65"/>
      <c r="AY52" s="44"/>
      <c r="AZ52" s="44"/>
      <c r="BA52" s="186"/>
      <c r="BB52" s="139"/>
      <c r="BC52" s="483"/>
      <c r="BF52" s="276">
        <f>'CH4_Gylle_Stald&amp;Lager'!AU51</f>
        <v>0</v>
      </c>
      <c r="BG52" s="277"/>
      <c r="BH52" s="277"/>
      <c r="BI52" s="277"/>
      <c r="BJ52" s="482"/>
    </row>
    <row r="53" spans="1:62" x14ac:dyDescent="0.25">
      <c r="A53" s="302"/>
      <c r="D53" s="56" t="s">
        <v>203</v>
      </c>
      <c r="E53" s="66"/>
      <c r="F53" s="290"/>
      <c r="G53" s="290"/>
      <c r="H53" s="292"/>
      <c r="I53" s="44"/>
      <c r="J53" s="44"/>
      <c r="K53" s="251" t="s">
        <v>203</v>
      </c>
      <c r="L53" s="85"/>
      <c r="M53" s="85"/>
      <c r="N53" s="186"/>
      <c r="Q53" s="211" t="s">
        <v>366</v>
      </c>
      <c r="R53" s="85" t="s">
        <v>10</v>
      </c>
      <c r="S53" s="300">
        <f>-_xlfn.AGGREGATE(9,6,G70:G71)</f>
        <v>-2.6681247123287664</v>
      </c>
      <c r="T53" s="44"/>
      <c r="U53" s="44"/>
      <c r="V53" s="65"/>
      <c r="Y53" s="65"/>
      <c r="Z53" s="139"/>
      <c r="AA53" s="302"/>
      <c r="AC53" s="483"/>
      <c r="AF53" s="56" t="s">
        <v>203</v>
      </c>
      <c r="AG53" s="66"/>
      <c r="AH53" s="290"/>
      <c r="AI53" s="290"/>
      <c r="AJ53" s="292"/>
      <c r="AK53" s="44"/>
      <c r="AL53" s="44"/>
      <c r="AM53" s="251" t="s">
        <v>203</v>
      </c>
      <c r="AN53" s="85"/>
      <c r="AO53" s="85"/>
      <c r="AP53" s="186"/>
      <c r="AS53" s="211" t="s">
        <v>366</v>
      </c>
      <c r="AT53" s="85" t="s">
        <v>10</v>
      </c>
      <c r="AU53" s="300">
        <f>-_xlfn.AGGREGATE(9,6,AI70:AI71)</f>
        <v>-2.2752315616438357</v>
      </c>
      <c r="AV53" s="44"/>
      <c r="AW53" s="44"/>
      <c r="AX53" s="65"/>
      <c r="BA53" s="65"/>
      <c r="BB53" s="139"/>
      <c r="BC53" s="483"/>
      <c r="BF53" s="593" t="str">
        <f>'CH4_Gylle_Stald&amp;Lager'!AU52</f>
        <v>Malkekøer, jersey Kalve 0-1 mdr.</v>
      </c>
      <c r="BG53" s="337"/>
      <c r="BH53" s="337">
        <f>SUM(AI136:AI137)</f>
        <v>84.241461961325967</v>
      </c>
      <c r="BI53" s="337">
        <f>_xlfn.AGGREGATE(9,6,AU120,AU122)</f>
        <v>26.183324446284534</v>
      </c>
      <c r="BJ53" s="478">
        <f>SUM(BG53:BI53)</f>
        <v>110.4247864076105</v>
      </c>
    </row>
    <row r="54" spans="1:62" x14ac:dyDescent="0.25">
      <c r="A54" s="302"/>
      <c r="D54" s="56" t="s">
        <v>203</v>
      </c>
      <c r="E54" s="96" t="s">
        <v>134</v>
      </c>
      <c r="F54" s="176">
        <f>_xlfn.AGGREGATE(9,6,F47,F52)</f>
        <v>48.429361643835612</v>
      </c>
      <c r="G54" s="288"/>
      <c r="H54" s="266">
        <f>_xlfn.AGGREGATE(9,6,H47,H52)</f>
        <v>48.429361643835612</v>
      </c>
      <c r="I54" s="44"/>
      <c r="J54" s="44"/>
      <c r="K54" s="65"/>
      <c r="L54" s="85" t="str">
        <f>$T$20</f>
        <v>EF4</v>
      </c>
      <c r="M54" s="85">
        <f>$U$20</f>
        <v>0.01</v>
      </c>
      <c r="N54" s="186"/>
      <c r="Q54" s="66"/>
      <c r="R54" s="44"/>
      <c r="S54" s="44"/>
      <c r="T54" s="301"/>
      <c r="U54" s="44"/>
      <c r="V54" s="65"/>
      <c r="W54" s="24"/>
      <c r="X54" s="24"/>
      <c r="Y54" s="120"/>
      <c r="Z54" s="48"/>
      <c r="AA54" s="302"/>
      <c r="AC54" s="483"/>
      <c r="AF54" s="56" t="s">
        <v>203</v>
      </c>
      <c r="AG54" s="96" t="s">
        <v>134</v>
      </c>
      <c r="AH54" s="176">
        <f>_xlfn.AGGREGATE(9,6,AH47,AH52)</f>
        <v>39.8110602739726</v>
      </c>
      <c r="AI54" s="288"/>
      <c r="AJ54" s="266">
        <f>_xlfn.AGGREGATE(9,6,AJ47,AJ52)</f>
        <v>39.8110602739726</v>
      </c>
      <c r="AK54" s="44"/>
      <c r="AL54" s="44"/>
      <c r="AM54" s="65"/>
      <c r="AN54" s="85" t="str">
        <f>$T$20</f>
        <v>EF4</v>
      </c>
      <c r="AO54" s="85">
        <f>$U$20</f>
        <v>0.01</v>
      </c>
      <c r="AP54" s="186"/>
      <c r="AS54" s="66"/>
      <c r="AT54" s="44"/>
      <c r="AU54" s="44"/>
      <c r="AV54" s="301"/>
      <c r="AW54" s="44"/>
      <c r="AX54" s="65"/>
      <c r="AY54" s="24"/>
      <c r="AZ54" s="24"/>
      <c r="BA54" s="120"/>
      <c r="BB54" s="48"/>
      <c r="BC54" s="483"/>
      <c r="BF54" s="593" t="str">
        <f>'CH4_Gylle_Stald&amp;Lager'!AU53</f>
        <v>Malkekøer, jersey Kalve 0-3 mdr.</v>
      </c>
      <c r="BG54" s="594"/>
      <c r="BH54" s="594"/>
      <c r="BI54" s="594"/>
      <c r="BJ54" s="595"/>
    </row>
    <row r="55" spans="1:62" x14ac:dyDescent="0.25">
      <c r="A55" s="302"/>
      <c r="D55" s="56" t="s">
        <v>203</v>
      </c>
      <c r="E55" s="66"/>
      <c r="F55" s="44"/>
      <c r="G55" s="44"/>
      <c r="H55" s="44"/>
      <c r="I55" s="44"/>
      <c r="J55" s="44"/>
      <c r="K55" s="65"/>
      <c r="L55" s="85" t="str">
        <f>$T$21</f>
        <v>[leaching/ runoff]</v>
      </c>
      <c r="M55" s="197">
        <f>$U$21</f>
        <v>0</v>
      </c>
      <c r="N55" s="186"/>
      <c r="Q55" s="96" t="s">
        <v>369</v>
      </c>
      <c r="R55" s="85" t="s">
        <v>10</v>
      </c>
      <c r="S55" s="198">
        <f>SUM(S45:S48)</f>
        <v>91.033057954931508</v>
      </c>
      <c r="W55" s="44"/>
      <c r="X55" s="44"/>
      <c r="Y55" s="44"/>
      <c r="Z55" s="48"/>
      <c r="AA55" s="302"/>
      <c r="AC55" s="483"/>
      <c r="AF55" s="56" t="s">
        <v>203</v>
      </c>
      <c r="AG55" s="66"/>
      <c r="AH55" s="44"/>
      <c r="AI55" s="44"/>
      <c r="AJ55" s="44"/>
      <c r="AK55" s="44"/>
      <c r="AL55" s="44"/>
      <c r="AM55" s="65"/>
      <c r="AN55" s="85" t="str">
        <f>$T$21</f>
        <v>[leaching/ runoff]</v>
      </c>
      <c r="AO55" s="197">
        <f>$U$21</f>
        <v>0</v>
      </c>
      <c r="AP55" s="186"/>
      <c r="AS55" s="96" t="s">
        <v>369</v>
      </c>
      <c r="AT55" s="85" t="s">
        <v>10</v>
      </c>
      <c r="AU55" s="198">
        <f>SUM(AU45:AU48)</f>
        <v>74.056114573313351</v>
      </c>
      <c r="AY55" s="44"/>
      <c r="AZ55" s="44"/>
      <c r="BA55" s="44"/>
      <c r="BB55" s="48"/>
      <c r="BC55" s="483"/>
      <c r="BF55" s="276" t="str">
        <f>'CH4_Gylle_Stald&amp;Lager'!AU54</f>
        <v>Malkekøer, jersey Kalve 0-6 mdr.</v>
      </c>
      <c r="BG55" s="338"/>
      <c r="BH55" s="321">
        <f>SUM(AI190:AI191)</f>
        <v>98.933834999999988</v>
      </c>
      <c r="BI55" s="321">
        <f>_xlfn.AGGREGATE(9,6,AU174,AU176)</f>
        <v>30.694991827499994</v>
      </c>
      <c r="BJ55" s="454">
        <f>SUM(BG55:BI55)</f>
        <v>129.62882682749998</v>
      </c>
    </row>
    <row r="56" spans="1:62" x14ac:dyDescent="0.25">
      <c r="A56" s="302"/>
      <c r="D56" s="56" t="s">
        <v>203</v>
      </c>
      <c r="E56" s="96" t="s">
        <v>84</v>
      </c>
      <c r="F56" s="85"/>
      <c r="G56" s="85"/>
      <c r="H56" s="44"/>
      <c r="I56" s="85"/>
      <c r="J56" s="44"/>
      <c r="K56" s="251" t="s">
        <v>203</v>
      </c>
      <c r="L56" s="85" t="str">
        <f>$T$22</f>
        <v>EF5</v>
      </c>
      <c r="M56" s="85">
        <f>$U$22</f>
        <v>1.0999999999999999E-2</v>
      </c>
      <c r="N56" s="186"/>
      <c r="Q56" s="310" t="s">
        <v>563</v>
      </c>
      <c r="R56" s="84" t="s">
        <v>10</v>
      </c>
      <c r="S56" s="457">
        <f>F47-G65</f>
        <v>35.255136780821914</v>
      </c>
      <c r="U56" s="44"/>
      <c r="V56" s="65"/>
      <c r="W56" s="44"/>
      <c r="X56" s="44"/>
      <c r="Y56" s="44"/>
      <c r="Z56" s="48"/>
      <c r="AA56" s="302"/>
      <c r="AC56" s="483"/>
      <c r="AF56" s="56" t="s">
        <v>203</v>
      </c>
      <c r="AG56" s="96" t="s">
        <v>84</v>
      </c>
      <c r="AH56" s="85"/>
      <c r="AI56" s="85"/>
      <c r="AJ56" s="44"/>
      <c r="AK56" s="85"/>
      <c r="AL56" s="44"/>
      <c r="AM56" s="251" t="s">
        <v>203</v>
      </c>
      <c r="AN56" s="85" t="str">
        <f>$T$22</f>
        <v>EF5</v>
      </c>
      <c r="AO56" s="85">
        <f>$U$22</f>
        <v>1.0999999999999999E-2</v>
      </c>
      <c r="AP56" s="186"/>
      <c r="AS56" s="310" t="s">
        <v>563</v>
      </c>
      <c r="AT56" s="84" t="s">
        <v>10</v>
      </c>
      <c r="AU56" s="457">
        <f>AH47-AI65</f>
        <v>28.768703219178082</v>
      </c>
      <c r="AW56" s="44"/>
      <c r="AX56" s="65"/>
      <c r="AY56" s="44"/>
      <c r="AZ56" s="44"/>
      <c r="BA56" s="44"/>
      <c r="BB56" s="48"/>
      <c r="BC56" s="483"/>
      <c r="BF56" s="592" t="str">
        <f>'CH4_Gylle_Stald&amp;Lager'!AU55</f>
        <v>Malkekøer, jersey Kvier u. 18. mdr.</v>
      </c>
      <c r="BG56" s="339">
        <f>SUM(AI239:AI241)</f>
        <v>25.506907939710242</v>
      </c>
      <c r="BH56" s="339">
        <f>SUM(AI244:AI245)</f>
        <v>39.273630226389052</v>
      </c>
      <c r="BI56" s="339">
        <f>_xlfn.AGGREGATE(9,6,AU228,AU230)</f>
        <v>28.290962325088206</v>
      </c>
      <c r="BJ56" s="540">
        <f>SUM(BG56:BI56)+$BJ$55</f>
        <v>222.70032731868747</v>
      </c>
    </row>
    <row r="57" spans="1:62" x14ac:dyDescent="0.25">
      <c r="A57" s="302"/>
      <c r="D57" s="56" t="s">
        <v>203</v>
      </c>
      <c r="E57" s="96" t="s">
        <v>105</v>
      </c>
      <c r="F57" s="85" t="s">
        <v>10</v>
      </c>
      <c r="G57" s="176">
        <f>(F42)*M50/100</f>
        <v>7.7191780821917813E-2</v>
      </c>
      <c r="H57" s="44"/>
      <c r="I57" s="85" t="s">
        <v>85</v>
      </c>
      <c r="J57" s="114" t="s">
        <v>86</v>
      </c>
      <c r="K57" s="252" t="s">
        <v>203</v>
      </c>
      <c r="L57" s="85" t="str">
        <f>$T$23</f>
        <v>FracLEACH</v>
      </c>
      <c r="M57" s="85">
        <f>$U$23</f>
        <v>0.24</v>
      </c>
      <c r="N57" s="186"/>
      <c r="Q57" s="96" t="s">
        <v>370</v>
      </c>
      <c r="R57" s="85" t="s">
        <v>10</v>
      </c>
      <c r="S57" s="198">
        <f>SUM(S50:S53)</f>
        <v>46.724884131506847</v>
      </c>
      <c r="W57" s="44"/>
      <c r="X57" s="44"/>
      <c r="Y57" s="44"/>
      <c r="Z57" s="48"/>
      <c r="AA57" s="302"/>
      <c r="AC57" s="483"/>
      <c r="AF57" s="56" t="s">
        <v>203</v>
      </c>
      <c r="AG57" s="96" t="s">
        <v>105</v>
      </c>
      <c r="AH57" s="85" t="s">
        <v>10</v>
      </c>
      <c r="AI57" s="176">
        <f>(AH42)*AO50/100</f>
        <v>6.3767123287671229E-2</v>
      </c>
      <c r="AJ57" s="44"/>
      <c r="AK57" s="85" t="s">
        <v>85</v>
      </c>
      <c r="AL57" s="114" t="s">
        <v>86</v>
      </c>
      <c r="AM57" s="252" t="s">
        <v>203</v>
      </c>
      <c r="AN57" s="85" t="str">
        <f>$T$23</f>
        <v>FracLEACH</v>
      </c>
      <c r="AO57" s="85">
        <f>$U$23</f>
        <v>0.24</v>
      </c>
      <c r="AP57" s="186"/>
      <c r="AS57" s="96" t="s">
        <v>370</v>
      </c>
      <c r="AT57" s="85" t="s">
        <v>10</v>
      </c>
      <c r="AU57" s="198">
        <f>SUM(AU50:AU53)</f>
        <v>39.685258243690065</v>
      </c>
      <c r="AY57" s="44"/>
      <c r="AZ57" s="44"/>
      <c r="BA57" s="44"/>
      <c r="BB57" s="48"/>
      <c r="BC57" s="483"/>
      <c r="BF57" s="592" t="str">
        <f>'CH4_Gylle_Stald&amp;Lager'!AU56</f>
        <v>Malkekøer, jersey Kvier o. 18. mdr.</v>
      </c>
      <c r="BG57" s="339">
        <f>SUM(AI293:AI295)</f>
        <v>31.948740248693124</v>
      </c>
      <c r="BH57" s="339">
        <f>SUM(AI297:AI299)</f>
        <v>48.556909288727681</v>
      </c>
      <c r="BI57" s="339">
        <f>_xlfn.AGGREGATE(9,6,AU282,AU284)</f>
        <v>34.667117921232233</v>
      </c>
      <c r="BJ57" s="540">
        <f>SUM(BG57:BI57)+$BJ$55</f>
        <v>244.80159428615303</v>
      </c>
    </row>
    <row r="58" spans="1:62" x14ac:dyDescent="0.25">
      <c r="A58" s="302"/>
      <c r="D58" s="56" t="s">
        <v>203</v>
      </c>
      <c r="E58" s="96" t="s">
        <v>106</v>
      </c>
      <c r="F58" s="85" t="s">
        <v>10</v>
      </c>
      <c r="G58" s="198">
        <f>(F42)*N52/100</f>
        <v>4.052568493150685E-2</v>
      </c>
      <c r="H58" s="44"/>
      <c r="I58" s="85" t="s">
        <v>87</v>
      </c>
      <c r="J58" s="114" t="s">
        <v>88</v>
      </c>
      <c r="K58" s="252" t="s">
        <v>203</v>
      </c>
      <c r="L58" s="24"/>
      <c r="M58" s="24"/>
      <c r="N58" s="196"/>
      <c r="T58" s="44"/>
      <c r="U58" s="44"/>
      <c r="V58" s="65"/>
      <c r="W58" s="85"/>
      <c r="X58" s="85"/>
      <c r="Y58" s="85"/>
      <c r="Z58" s="48"/>
      <c r="AA58" s="302"/>
      <c r="AC58" s="483"/>
      <c r="AF58" s="56" t="s">
        <v>203</v>
      </c>
      <c r="AG58" s="96" t="s">
        <v>106</v>
      </c>
      <c r="AH58" s="85" t="s">
        <v>10</v>
      </c>
      <c r="AI58" s="198">
        <f>(AH42)*AP52/100</f>
        <v>3.3477739726027397E-2</v>
      </c>
      <c r="AJ58" s="44"/>
      <c r="AK58" s="85" t="s">
        <v>87</v>
      </c>
      <c r="AL58" s="114" t="s">
        <v>88</v>
      </c>
      <c r="AM58" s="252" t="s">
        <v>203</v>
      </c>
      <c r="AN58" s="24"/>
      <c r="AO58" s="24"/>
      <c r="AP58" s="196"/>
      <c r="AV58" s="44"/>
      <c r="AW58" s="44"/>
      <c r="AX58" s="65"/>
      <c r="AY58" s="85"/>
      <c r="AZ58" s="85"/>
      <c r="BA58" s="85"/>
      <c r="BB58" s="48"/>
      <c r="BC58" s="483"/>
      <c r="BF58" s="592" t="str">
        <f>'CH4_Gylle_Stald&amp;Lager'!AU57</f>
        <v>Malkekøer, jersey Stude</v>
      </c>
      <c r="BG58" s="339">
        <f>SUM(AI347:AI349)</f>
        <v>30.855929410562098</v>
      </c>
      <c r="BH58" s="339">
        <f>SUM(AI351:AI353)</f>
        <v>46.98206730493807</v>
      </c>
      <c r="BI58" s="339">
        <f>_xlfn.AGGREGATE(9,6,AU336,AU338)</f>
        <v>33.492786489067129</v>
      </c>
      <c r="BJ58" s="540">
        <f>SUM(BG58:BI58)+$BJ$55</f>
        <v>240.95961003206727</v>
      </c>
    </row>
    <row r="59" spans="1:62" x14ac:dyDescent="0.25">
      <c r="A59" s="302"/>
      <c r="D59" s="56" t="s">
        <v>203</v>
      </c>
      <c r="E59" s="96" t="s">
        <v>200</v>
      </c>
      <c r="F59" s="85" t="s">
        <v>10</v>
      </c>
      <c r="G59" s="198">
        <f>F42*M57/100</f>
        <v>4.6315068493150681E-2</v>
      </c>
      <c r="H59" s="44"/>
      <c r="I59" s="85" t="s">
        <v>201</v>
      </c>
      <c r="J59" s="44"/>
      <c r="K59" s="251" t="s">
        <v>203</v>
      </c>
      <c r="Q59" s="96" t="s">
        <v>136</v>
      </c>
      <c r="R59" s="85"/>
      <c r="S59" s="85"/>
      <c r="T59" s="85"/>
      <c r="U59" s="85"/>
      <c r="V59" s="186" t="s">
        <v>210</v>
      </c>
      <c r="W59" s="44"/>
      <c r="X59" s="44"/>
      <c r="Y59" s="44"/>
      <c r="Z59" s="48"/>
      <c r="AA59" s="302"/>
      <c r="AC59" s="483"/>
      <c r="AF59" s="56" t="s">
        <v>203</v>
      </c>
      <c r="AG59" s="96" t="s">
        <v>200</v>
      </c>
      <c r="AH59" s="85" t="s">
        <v>10</v>
      </c>
      <c r="AI59" s="198">
        <f>AH42*AO57/100</f>
        <v>3.8260273972602739E-2</v>
      </c>
      <c r="AJ59" s="44"/>
      <c r="AK59" s="85" t="s">
        <v>201</v>
      </c>
      <c r="AL59" s="44"/>
      <c r="AM59" s="251" t="s">
        <v>203</v>
      </c>
      <c r="AS59" s="96" t="s">
        <v>136</v>
      </c>
      <c r="AT59" s="85"/>
      <c r="AU59" s="85"/>
      <c r="AV59" s="85"/>
      <c r="AW59" s="85"/>
      <c r="AX59" s="186" t="s">
        <v>210</v>
      </c>
      <c r="AY59" s="44"/>
      <c r="AZ59" s="44"/>
      <c r="BA59" s="44"/>
      <c r="BB59" s="48"/>
      <c r="BC59" s="483"/>
      <c r="BF59" s="592" t="str">
        <f>'CH4_Gylle_Stald&amp;Lager'!AU58</f>
        <v>Malkekøer, jersey Køer (1year)</v>
      </c>
      <c r="BG59" s="339">
        <f>SUM(AI77:AI79)</f>
        <v>27.680265626712323</v>
      </c>
      <c r="BH59" s="339">
        <f>SUM(AI82:AI83)</f>
        <v>213.73030560241432</v>
      </c>
      <c r="BI59" s="339">
        <f>_xlfn.AGGREGATE(9,6,AU66,AU68)</f>
        <v>225.05103697952649</v>
      </c>
      <c r="BJ59" s="481">
        <f>SUM(BG59:BI59)</f>
        <v>466.46160820865316</v>
      </c>
    </row>
    <row r="60" spans="1:62" x14ac:dyDescent="0.25">
      <c r="A60" s="302"/>
      <c r="D60" s="56" t="s">
        <v>203</v>
      </c>
      <c r="E60" s="66"/>
      <c r="F60" s="85"/>
      <c r="G60" s="176"/>
      <c r="H60" s="44"/>
      <c r="I60" s="85"/>
      <c r="J60" s="44"/>
      <c r="K60" s="251" t="s">
        <v>203</v>
      </c>
      <c r="Q60" s="96" t="s">
        <v>375</v>
      </c>
      <c r="R60" s="85" t="s">
        <v>10</v>
      </c>
      <c r="S60" s="176">
        <f>(S55*X39/100)</f>
        <v>0.45516528977465753</v>
      </c>
      <c r="T60" s="212" t="s">
        <v>561</v>
      </c>
      <c r="U60" s="212" t="s">
        <v>379</v>
      </c>
      <c r="V60" s="186" t="s">
        <v>210</v>
      </c>
      <c r="W60" s="44"/>
      <c r="X60" s="44"/>
      <c r="Y60" s="44"/>
      <c r="Z60" s="44"/>
      <c r="AA60" s="302"/>
      <c r="AC60" s="483"/>
      <c r="AF60" s="56" t="s">
        <v>203</v>
      </c>
      <c r="AG60" s="66"/>
      <c r="AH60" s="85"/>
      <c r="AI60" s="176"/>
      <c r="AJ60" s="44"/>
      <c r="AK60" s="85"/>
      <c r="AL60" s="44"/>
      <c r="AM60" s="251" t="s">
        <v>203</v>
      </c>
      <c r="AS60" s="96" t="s">
        <v>375</v>
      </c>
      <c r="AT60" s="85" t="s">
        <v>10</v>
      </c>
      <c r="AU60" s="176">
        <f>(AU55*AZ39/100)</f>
        <v>0.37028057286656674</v>
      </c>
      <c r="AV60" s="212" t="s">
        <v>561</v>
      </c>
      <c r="AW60" s="212" t="s">
        <v>379</v>
      </c>
      <c r="AX60" s="186" t="s">
        <v>210</v>
      </c>
      <c r="AY60" s="44"/>
      <c r="AZ60" s="44"/>
      <c r="BA60" s="44"/>
      <c r="BB60" s="44"/>
      <c r="BC60" s="483"/>
      <c r="BF60" s="593" t="str">
        <f>'CH4_Gylle_Stald&amp;Lager'!AU59</f>
        <v>Malkekøer, jersey Tyrekalve 0-1 mdr.</v>
      </c>
      <c r="BG60" s="337"/>
      <c r="BH60" s="337">
        <f>SUM(AI405:AI407)</f>
        <v>12.63943664253183</v>
      </c>
      <c r="BI60" s="337">
        <f>_xlfn.AGGREGATE(9,6,AU390,AU392)</f>
        <v>4.1960987469755757</v>
      </c>
      <c r="BJ60" s="478">
        <f>SUM(BG60:BI60)</f>
        <v>16.835535389507406</v>
      </c>
    </row>
    <row r="61" spans="1:62" x14ac:dyDescent="0.25">
      <c r="A61" s="302"/>
      <c r="D61" s="56" t="s">
        <v>203</v>
      </c>
      <c r="E61" s="96" t="s">
        <v>89</v>
      </c>
      <c r="F61" s="85"/>
      <c r="G61" s="176"/>
      <c r="H61" s="44"/>
      <c r="I61" s="85"/>
      <c r="J61" s="44"/>
      <c r="K61" s="251"/>
      <c r="L61" s="85"/>
      <c r="M61" s="85"/>
      <c r="N61" s="85"/>
      <c r="O61" s="44"/>
      <c r="Q61" s="96" t="s">
        <v>373</v>
      </c>
      <c r="R61" s="85" t="s">
        <v>10</v>
      </c>
      <c r="S61" s="176">
        <f>(S57*Y44/100)*0.35</f>
        <v>0.16353709446027395</v>
      </c>
      <c r="T61" s="212" t="s">
        <v>141</v>
      </c>
      <c r="U61" s="212" t="s">
        <v>143</v>
      </c>
      <c r="V61" s="184" t="s">
        <v>210</v>
      </c>
      <c r="W61" s="85"/>
      <c r="X61" s="85"/>
      <c r="Y61" s="85"/>
      <c r="Z61" s="44"/>
      <c r="AA61" s="302"/>
      <c r="AC61" s="483"/>
      <c r="AF61" s="56" t="s">
        <v>203</v>
      </c>
      <c r="AG61" s="96" t="s">
        <v>89</v>
      </c>
      <c r="AH61" s="85"/>
      <c r="AI61" s="176"/>
      <c r="AJ61" s="44"/>
      <c r="AK61" s="85"/>
      <c r="AL61" s="44"/>
      <c r="AM61" s="251"/>
      <c r="AN61" s="85"/>
      <c r="AO61" s="85"/>
      <c r="AP61" s="85"/>
      <c r="AQ61" s="44"/>
      <c r="AS61" s="96" t="s">
        <v>373</v>
      </c>
      <c r="AT61" s="85" t="s">
        <v>10</v>
      </c>
      <c r="AU61" s="176">
        <f>(AU57*BA44/100)*0.35</f>
        <v>0.13889840385291521</v>
      </c>
      <c r="AV61" s="212" t="s">
        <v>141</v>
      </c>
      <c r="AW61" s="212" t="s">
        <v>143</v>
      </c>
      <c r="AX61" s="184" t="s">
        <v>210</v>
      </c>
      <c r="AY61" s="85"/>
      <c r="AZ61" s="85"/>
      <c r="BA61" s="85"/>
      <c r="BB61" s="44"/>
      <c r="BC61" s="483"/>
      <c r="BF61" s="593" t="str">
        <f>'CH4_Gylle_Stald&amp;Lager'!AU60</f>
        <v>Malkekøer, jersey Tyrekalve 0-3 mdr.</v>
      </c>
      <c r="BG61" s="594"/>
      <c r="BH61" s="594"/>
      <c r="BI61" s="594"/>
      <c r="BJ61" s="595"/>
    </row>
    <row r="62" spans="1:62" x14ac:dyDescent="0.25">
      <c r="A62" s="302"/>
      <c r="D62" s="56" t="s">
        <v>203</v>
      </c>
      <c r="E62" s="97" t="s">
        <v>236</v>
      </c>
      <c r="F62" s="85"/>
      <c r="G62" s="176"/>
      <c r="H62" s="44"/>
      <c r="I62" s="85"/>
      <c r="J62" s="116"/>
      <c r="K62" s="252"/>
      <c r="L62" s="85"/>
      <c r="M62" s="85"/>
      <c r="N62" s="85"/>
      <c r="O62" s="44"/>
      <c r="Q62" s="97" t="s">
        <v>376</v>
      </c>
      <c r="R62" s="84" t="s">
        <v>10</v>
      </c>
      <c r="S62" s="456">
        <f>S56*X40/100</f>
        <v>1.1986746505479451</v>
      </c>
      <c r="T62" s="458" t="s">
        <v>562</v>
      </c>
      <c r="U62" s="212" t="s">
        <v>380</v>
      </c>
      <c r="V62" s="184" t="s">
        <v>210</v>
      </c>
      <c r="W62" s="85"/>
      <c r="X62" s="85"/>
      <c r="Y62" s="85"/>
      <c r="Z62" s="44"/>
      <c r="AA62" s="302"/>
      <c r="AC62" s="483"/>
      <c r="AF62" s="56" t="s">
        <v>203</v>
      </c>
      <c r="AG62" s="97" t="s">
        <v>236</v>
      </c>
      <c r="AH62" s="85"/>
      <c r="AI62" s="176"/>
      <c r="AJ62" s="44"/>
      <c r="AK62" s="85"/>
      <c r="AL62" s="116"/>
      <c r="AM62" s="252"/>
      <c r="AN62" s="85"/>
      <c r="AO62" s="85"/>
      <c r="AP62" s="85"/>
      <c r="AQ62" s="44"/>
      <c r="AS62" s="97" t="s">
        <v>376</v>
      </c>
      <c r="AT62" s="84" t="s">
        <v>10</v>
      </c>
      <c r="AU62" s="456">
        <f>AU56*AZ40/100</f>
        <v>0.97813590945205475</v>
      </c>
      <c r="AV62" s="458" t="s">
        <v>562</v>
      </c>
      <c r="AW62" s="212" t="s">
        <v>380</v>
      </c>
      <c r="AX62" s="184" t="s">
        <v>210</v>
      </c>
      <c r="AY62" s="85"/>
      <c r="AZ62" s="85"/>
      <c r="BA62" s="85"/>
      <c r="BB62" s="44"/>
      <c r="BC62" s="483"/>
      <c r="BF62" s="276" t="str">
        <f>'CH4_Gylle_Stald&amp;Lager'!AU61</f>
        <v>Malkekøer, jersey Tyrekalve 0-6 mdr.</v>
      </c>
      <c r="BG62" s="338"/>
      <c r="BH62" s="338">
        <f>SUM(AI459:AI461)</f>
        <v>49.367174999999996</v>
      </c>
      <c r="BI62" s="338">
        <f>_xlfn.AGGREGATE(9,6,AU444,AU446)</f>
        <v>15.474286327500002</v>
      </c>
      <c r="BJ62" s="454">
        <f>SUM(BG62:BI62)</f>
        <v>64.841461327499999</v>
      </c>
    </row>
    <row r="63" spans="1:62" x14ac:dyDescent="0.25">
      <c r="A63" s="302"/>
      <c r="D63" s="56" t="s">
        <v>203</v>
      </c>
      <c r="E63" s="97" t="s">
        <v>107</v>
      </c>
      <c r="F63" s="85" t="s">
        <v>10</v>
      </c>
      <c r="G63" s="282">
        <f>(F45+F46)*M39/100</f>
        <v>0.19345752452054796</v>
      </c>
      <c r="H63" s="44"/>
      <c r="I63" s="85"/>
      <c r="J63" s="116"/>
      <c r="K63" s="252"/>
      <c r="L63" s="85"/>
      <c r="M63" s="85"/>
      <c r="N63" s="85"/>
      <c r="O63" s="44"/>
      <c r="Q63" s="97" t="s">
        <v>544</v>
      </c>
      <c r="R63" s="84" t="s">
        <v>10</v>
      </c>
      <c r="S63" s="432">
        <f>S56*X40/100*(1+X42*C48)</f>
        <v>1.3784758481301367</v>
      </c>
      <c r="T63" s="458" t="s">
        <v>565</v>
      </c>
      <c r="U63" s="212" t="s">
        <v>380</v>
      </c>
      <c r="V63" s="184" t="s">
        <v>210</v>
      </c>
      <c r="W63" s="44"/>
      <c r="X63" s="44"/>
      <c r="Y63" s="44"/>
      <c r="Z63" s="44"/>
      <c r="AA63" s="302"/>
      <c r="AC63" s="483"/>
      <c r="AF63" s="56" t="s">
        <v>203</v>
      </c>
      <c r="AG63" s="97" t="s">
        <v>107</v>
      </c>
      <c r="AH63" s="85" t="s">
        <v>10</v>
      </c>
      <c r="AI63" s="282">
        <f>(AH45+AH46)*AO39/100</f>
        <v>0.15740686932363013</v>
      </c>
      <c r="AJ63" s="44"/>
      <c r="AK63" s="85"/>
      <c r="AL63" s="116"/>
      <c r="AM63" s="252"/>
      <c r="AN63" s="85"/>
      <c r="AO63" s="85"/>
      <c r="AP63" s="85"/>
      <c r="AQ63" s="44"/>
      <c r="AS63" s="97" t="s">
        <v>544</v>
      </c>
      <c r="AT63" s="84" t="s">
        <v>10</v>
      </c>
      <c r="AU63" s="432">
        <f>AU56*AZ40/100*(1+AZ42*AE48)</f>
        <v>1.1248562958698629</v>
      </c>
      <c r="AV63" s="458" t="s">
        <v>565</v>
      </c>
      <c r="AW63" s="212" t="s">
        <v>380</v>
      </c>
      <c r="AX63" s="184" t="s">
        <v>210</v>
      </c>
      <c r="AY63" s="44"/>
      <c r="AZ63" s="44"/>
      <c r="BA63" s="44"/>
      <c r="BB63" s="44"/>
      <c r="BC63" s="483"/>
      <c r="BF63" s="592" t="str">
        <f>'CH4_Gylle_Stald&amp;Lager'!AU62</f>
        <v>Malkekøer, jersey Tyre u. 12 mdr.</v>
      </c>
      <c r="BG63" s="339">
        <f>SUM(AI509:AI511)</f>
        <v>0</v>
      </c>
      <c r="BH63" s="339">
        <f>SUM(AI513:AI515)</f>
        <v>88.557025984993544</v>
      </c>
      <c r="BI63" s="339">
        <f>_xlfn.AGGREGATE(9,6,AU498,AU500)</f>
        <v>46.485488740327725</v>
      </c>
      <c r="BJ63" s="540">
        <f>SUM(BG63:BI63)+$BJ$62</f>
        <v>199.88397605282125</v>
      </c>
    </row>
    <row r="64" spans="1:62" x14ac:dyDescent="0.25">
      <c r="A64" s="302"/>
      <c r="D64" s="56" t="s">
        <v>203</v>
      </c>
      <c r="E64" s="97" t="s">
        <v>108</v>
      </c>
      <c r="F64" s="85" t="s">
        <v>10</v>
      </c>
      <c r="G64" s="282">
        <f>(G45+G46)*N39/100</f>
        <v>0</v>
      </c>
      <c r="H64" s="44"/>
      <c r="I64" s="85"/>
      <c r="J64" s="116"/>
      <c r="K64" s="252"/>
      <c r="L64" s="85"/>
      <c r="M64" s="85"/>
      <c r="N64" s="85"/>
      <c r="O64" s="44"/>
      <c r="Q64" s="96" t="s">
        <v>374</v>
      </c>
      <c r="R64" s="85" t="s">
        <v>10</v>
      </c>
      <c r="S64" s="198">
        <f>(S57*Y46/100)*0.35</f>
        <v>0.49061128338082183</v>
      </c>
      <c r="T64" s="212" t="s">
        <v>142</v>
      </c>
      <c r="U64" s="212" t="s">
        <v>144</v>
      </c>
      <c r="V64" s="184" t="s">
        <v>210</v>
      </c>
      <c r="W64" s="44"/>
      <c r="X64" s="44"/>
      <c r="Y64" s="44"/>
      <c r="Z64" s="44"/>
      <c r="AA64" s="302"/>
      <c r="AC64" s="483"/>
      <c r="AF64" s="56" t="s">
        <v>203</v>
      </c>
      <c r="AG64" s="97" t="s">
        <v>108</v>
      </c>
      <c r="AH64" s="85" t="s">
        <v>10</v>
      </c>
      <c r="AI64" s="282">
        <f>(AI45+AI46)*AP39/100</f>
        <v>0</v>
      </c>
      <c r="AJ64" s="44"/>
      <c r="AK64" s="85"/>
      <c r="AL64" s="116"/>
      <c r="AM64" s="252"/>
      <c r="AN64" s="85"/>
      <c r="AO64" s="85"/>
      <c r="AP64" s="85"/>
      <c r="AQ64" s="44"/>
      <c r="AS64" s="96" t="s">
        <v>374</v>
      </c>
      <c r="AT64" s="85" t="s">
        <v>10</v>
      </c>
      <c r="AU64" s="198">
        <f>(AU57*BA46/100)*0.35</f>
        <v>0.41669521155874562</v>
      </c>
      <c r="AV64" s="212" t="s">
        <v>142</v>
      </c>
      <c r="AW64" s="212" t="s">
        <v>144</v>
      </c>
      <c r="AX64" s="184" t="s">
        <v>210</v>
      </c>
      <c r="AY64" s="44"/>
      <c r="AZ64" s="44"/>
      <c r="BA64" s="44"/>
      <c r="BB64" s="44"/>
      <c r="BC64" s="483"/>
      <c r="BF64" s="592" t="str">
        <f>'CH4_Gylle_Stald&amp;Lager'!AU63</f>
        <v>Malkekøer, jersey Tyre o. 12 mdr.</v>
      </c>
      <c r="BG64" s="339">
        <f>SUM(AI563:AI565)</f>
        <v>0</v>
      </c>
      <c r="BH64" s="339">
        <f>SUM(AI567:AI569)</f>
        <v>115.46087587187802</v>
      </c>
      <c r="BI64" s="339">
        <f>_xlfn.AGGREGATE(9,6,AU552,AU554)</f>
        <v>60.890111100039761</v>
      </c>
      <c r="BJ64" s="540">
        <f>SUM(BG64:BI64)+$BJ$62</f>
        <v>241.19244829941778</v>
      </c>
    </row>
    <row r="65" spans="1:62" x14ac:dyDescent="0.25">
      <c r="A65" s="302"/>
      <c r="D65" s="56" t="s">
        <v>203</v>
      </c>
      <c r="E65" s="97" t="s">
        <v>109</v>
      </c>
      <c r="F65" s="85" t="s">
        <v>10</v>
      </c>
      <c r="G65" s="197">
        <f>F47*M41/100</f>
        <v>5.5022467808219178</v>
      </c>
      <c r="H65" s="44"/>
      <c r="I65" s="85"/>
      <c r="J65" s="116"/>
      <c r="K65" s="252"/>
      <c r="L65" s="85"/>
      <c r="M65" s="85"/>
      <c r="N65" s="85"/>
      <c r="O65" s="44"/>
      <c r="Q65" s="97" t="s">
        <v>383</v>
      </c>
      <c r="R65" s="85"/>
      <c r="S65" s="85"/>
      <c r="T65" s="85"/>
      <c r="U65" s="85"/>
      <c r="V65" s="186" t="s">
        <v>210</v>
      </c>
      <c r="W65" s="44"/>
      <c r="X65" s="44"/>
      <c r="Y65" s="44"/>
      <c r="Z65" s="44"/>
      <c r="AA65" s="302"/>
      <c r="AC65" s="483"/>
      <c r="AF65" s="56" t="s">
        <v>203</v>
      </c>
      <c r="AG65" s="97" t="s">
        <v>109</v>
      </c>
      <c r="AH65" s="85" t="s">
        <v>10</v>
      </c>
      <c r="AI65" s="197">
        <f>AH47*AO41/100</f>
        <v>4.4899132191780815</v>
      </c>
      <c r="AJ65" s="44"/>
      <c r="AK65" s="85"/>
      <c r="AL65" s="116"/>
      <c r="AM65" s="252"/>
      <c r="AN65" s="85"/>
      <c r="AO65" s="85"/>
      <c r="AP65" s="85"/>
      <c r="AQ65" s="44"/>
      <c r="AS65" s="97" t="s">
        <v>383</v>
      </c>
      <c r="AT65" s="85"/>
      <c r="AU65" s="85"/>
      <c r="AV65" s="85"/>
      <c r="AW65" s="85"/>
      <c r="AX65" s="186" t="s">
        <v>210</v>
      </c>
      <c r="AY65" s="44"/>
      <c r="AZ65" s="44"/>
      <c r="BA65" s="44"/>
      <c r="BB65" s="44"/>
      <c r="BC65" s="483"/>
      <c r="BF65" s="276">
        <f>'CH4_Gylle_Stald&amp;Lager'!AU64</f>
        <v>0</v>
      </c>
      <c r="BG65" s="277"/>
      <c r="BH65" s="277"/>
      <c r="BI65" s="277"/>
      <c r="BJ65" s="482"/>
    </row>
    <row r="66" spans="1:62" x14ac:dyDescent="0.25">
      <c r="A66" s="302"/>
      <c r="D66" s="56" t="s">
        <v>203</v>
      </c>
      <c r="E66" s="97" t="s">
        <v>110</v>
      </c>
      <c r="F66" s="85" t="s">
        <v>10</v>
      </c>
      <c r="G66" s="197">
        <f>(G45)*N40/100</f>
        <v>0</v>
      </c>
      <c r="H66" s="44"/>
      <c r="I66" s="85"/>
      <c r="J66" s="116"/>
      <c r="K66" s="252"/>
      <c r="L66" s="85"/>
      <c r="M66" s="85"/>
      <c r="N66" s="85"/>
      <c r="O66" s="44"/>
      <c r="Q66" s="96" t="s">
        <v>12</v>
      </c>
      <c r="R66" s="84" t="s">
        <v>13</v>
      </c>
      <c r="S66" s="182">
        <f>SUM(S60:S61)*(44/28)*$U$13</f>
        <v>265.42332283678564</v>
      </c>
      <c r="T66" s="85"/>
      <c r="U66" s="85"/>
      <c r="V66" s="186" t="s">
        <v>210</v>
      </c>
      <c r="AA66" s="302"/>
      <c r="AC66" s="483"/>
      <c r="AF66" s="56" t="s">
        <v>203</v>
      </c>
      <c r="AG66" s="97" t="s">
        <v>110</v>
      </c>
      <c r="AH66" s="85" t="s">
        <v>10</v>
      </c>
      <c r="AI66" s="197">
        <f>(AI45)*AP40/100</f>
        <v>0</v>
      </c>
      <c r="AJ66" s="44"/>
      <c r="AK66" s="85"/>
      <c r="AL66" s="116"/>
      <c r="AM66" s="252"/>
      <c r="AN66" s="85"/>
      <c r="AO66" s="85"/>
      <c r="AP66" s="85"/>
      <c r="AQ66" s="44"/>
      <c r="AS66" s="96" t="s">
        <v>12</v>
      </c>
      <c r="AT66" s="84" t="s">
        <v>13</v>
      </c>
      <c r="AU66" s="182">
        <f>SUM(AU60:AU61)*(44/28)*$U$13</f>
        <v>218.43778101265775</v>
      </c>
      <c r="AV66" s="85"/>
      <c r="AW66" s="85"/>
      <c r="AX66" s="186" t="s">
        <v>210</v>
      </c>
      <c r="BC66" s="483"/>
      <c r="BF66" s="312"/>
      <c r="BG66" s="312"/>
      <c r="BH66" s="312"/>
      <c r="BI66" s="312"/>
      <c r="BJ66" s="312"/>
    </row>
    <row r="67" spans="1:62" x14ac:dyDescent="0.25">
      <c r="A67" s="302"/>
      <c r="D67" s="56" t="s">
        <v>203</v>
      </c>
      <c r="E67" s="96" t="s">
        <v>237</v>
      </c>
      <c r="F67" s="85"/>
      <c r="G67" s="176"/>
      <c r="H67" s="44"/>
      <c r="I67" s="85"/>
      <c r="J67" s="44"/>
      <c r="K67" s="251"/>
      <c r="L67" s="85"/>
      <c r="M67" s="85"/>
      <c r="N67" s="85"/>
      <c r="O67" s="44"/>
      <c r="Q67" s="96" t="s">
        <v>14</v>
      </c>
      <c r="R67" s="84" t="s">
        <v>13</v>
      </c>
      <c r="S67" s="176">
        <f>SUM(S62,S64)*(44/28)*X51*$U$13</f>
        <v>7.2470366565544113</v>
      </c>
      <c r="T67" s="85"/>
      <c r="U67" s="85"/>
      <c r="V67" s="186"/>
      <c r="AA67" s="302"/>
      <c r="AC67" s="483"/>
      <c r="AF67" s="56" t="s">
        <v>203</v>
      </c>
      <c r="AG67" s="96" t="s">
        <v>237</v>
      </c>
      <c r="AH67" s="85"/>
      <c r="AI67" s="176"/>
      <c r="AJ67" s="44"/>
      <c r="AK67" s="85"/>
      <c r="AL67" s="44"/>
      <c r="AM67" s="251"/>
      <c r="AN67" s="85"/>
      <c r="AO67" s="85"/>
      <c r="AP67" s="85"/>
      <c r="AQ67" s="44"/>
      <c r="AS67" s="96" t="s">
        <v>14</v>
      </c>
      <c r="AT67" s="84" t="s">
        <v>13</v>
      </c>
      <c r="AU67" s="176">
        <f>SUM(AU62,AU64)*(44/28)*AZ51*$U$13</f>
        <v>5.9838255091363344</v>
      </c>
      <c r="AV67" s="85"/>
      <c r="AW67" s="85"/>
      <c r="AX67" s="186"/>
      <c r="BC67" s="483"/>
    </row>
    <row r="68" spans="1:62" x14ac:dyDescent="0.25">
      <c r="A68" s="302"/>
      <c r="D68" s="56" t="s">
        <v>203</v>
      </c>
      <c r="E68" s="97" t="s">
        <v>107</v>
      </c>
      <c r="F68" s="85" t="s">
        <v>10</v>
      </c>
      <c r="G68" s="197">
        <f>((F50)+(F51*C46/365))*M43/100</f>
        <v>3.6275726027397266E-2</v>
      </c>
      <c r="H68" s="44"/>
      <c r="I68" s="85" t="s">
        <v>111</v>
      </c>
      <c r="J68" s="114" t="s">
        <v>11</v>
      </c>
      <c r="K68" s="252" t="s">
        <v>203</v>
      </c>
      <c r="L68" s="85"/>
      <c r="M68" s="85"/>
      <c r="N68" s="85"/>
      <c r="O68" s="44"/>
      <c r="Q68" s="96" t="s">
        <v>545</v>
      </c>
      <c r="R68" s="84" t="s">
        <v>13</v>
      </c>
      <c r="S68" s="258">
        <f>SUM(S63,S64)*(44/28)*X51*$U$13</f>
        <v>8.0183837941820109</v>
      </c>
      <c r="T68" s="85"/>
      <c r="U68" s="85"/>
      <c r="V68" s="186"/>
      <c r="AA68" s="302"/>
      <c r="AC68" s="483"/>
      <c r="AF68" s="56" t="s">
        <v>203</v>
      </c>
      <c r="AG68" s="97" t="s">
        <v>107</v>
      </c>
      <c r="AH68" s="85" t="s">
        <v>10</v>
      </c>
      <c r="AI68" s="197">
        <f>((AH50)+(AH51*AE46/365))*AO43/100</f>
        <v>3.0903369863013695E-2</v>
      </c>
      <c r="AJ68" s="44"/>
      <c r="AK68" s="85" t="s">
        <v>111</v>
      </c>
      <c r="AL68" s="114" t="s">
        <v>11</v>
      </c>
      <c r="AM68" s="252" t="s">
        <v>203</v>
      </c>
      <c r="AN68" s="85"/>
      <c r="AO68" s="85"/>
      <c r="AP68" s="85"/>
      <c r="AQ68" s="44"/>
      <c r="AS68" s="96" t="s">
        <v>545</v>
      </c>
      <c r="AT68" s="84" t="s">
        <v>13</v>
      </c>
      <c r="AU68" s="258">
        <f>SUM(AU63,AU64)*(44/28)*AZ51*$U$13</f>
        <v>6.6132559668687305</v>
      </c>
      <c r="AV68" s="85"/>
      <c r="AW68" s="85"/>
      <c r="AX68" s="186"/>
      <c r="BC68" s="483"/>
    </row>
    <row r="69" spans="1:62" x14ac:dyDescent="0.25">
      <c r="A69" s="302"/>
      <c r="D69" s="56" t="s">
        <v>203</v>
      </c>
      <c r="E69" s="97" t="s">
        <v>108</v>
      </c>
      <c r="F69" s="85" t="s">
        <v>10</v>
      </c>
      <c r="G69" s="197">
        <f>((G50)+(G51*C46/365))*N43/100</f>
        <v>0.28437296438356158</v>
      </c>
      <c r="H69" s="44"/>
      <c r="I69" s="85" t="s">
        <v>140</v>
      </c>
      <c r="J69" s="116"/>
      <c r="K69" s="251" t="s">
        <v>203</v>
      </c>
      <c r="L69" s="85"/>
      <c r="M69" s="85"/>
      <c r="N69" s="85"/>
      <c r="O69" s="44"/>
      <c r="Q69" s="122"/>
      <c r="R69" s="98"/>
      <c r="S69" s="199"/>
      <c r="T69" s="101"/>
      <c r="U69" s="101"/>
      <c r="V69" s="196" t="s">
        <v>210</v>
      </c>
      <c r="AA69" s="302"/>
      <c r="AC69" s="483"/>
      <c r="AF69" s="56" t="s">
        <v>203</v>
      </c>
      <c r="AG69" s="97" t="s">
        <v>108</v>
      </c>
      <c r="AH69" s="85" t="s">
        <v>10</v>
      </c>
      <c r="AI69" s="197">
        <f>((AI50)+(AI51*AE46/365))*AP43/100</f>
        <v>0.24224415357020543</v>
      </c>
      <c r="AJ69" s="44"/>
      <c r="AK69" s="85" t="s">
        <v>140</v>
      </c>
      <c r="AL69" s="116"/>
      <c r="AM69" s="251" t="s">
        <v>203</v>
      </c>
      <c r="AN69" s="85"/>
      <c r="AO69" s="85"/>
      <c r="AP69" s="85"/>
      <c r="AQ69" s="44"/>
      <c r="AS69" s="122"/>
      <c r="AT69" s="98"/>
      <c r="AU69" s="199"/>
      <c r="AV69" s="101"/>
      <c r="AW69" s="101"/>
      <c r="AX69" s="196" t="s">
        <v>210</v>
      </c>
      <c r="BC69" s="483"/>
    </row>
    <row r="70" spans="1:62" x14ac:dyDescent="0.25">
      <c r="A70" s="302"/>
      <c r="D70" s="56" t="s">
        <v>203</v>
      </c>
      <c r="E70" s="97" t="s">
        <v>109</v>
      </c>
      <c r="F70" s="85" t="s">
        <v>10</v>
      </c>
      <c r="G70" s="197">
        <f>F52*M45/100</f>
        <v>1.0357170410958902</v>
      </c>
      <c r="H70" s="44"/>
      <c r="I70" s="85" t="s">
        <v>112</v>
      </c>
      <c r="J70" s="114" t="s">
        <v>90</v>
      </c>
      <c r="K70" s="252" t="s">
        <v>203</v>
      </c>
      <c r="L70" s="85"/>
      <c r="M70" s="85"/>
      <c r="N70" s="85"/>
      <c r="O70" s="44"/>
      <c r="AA70" s="302"/>
      <c r="AC70" s="483"/>
      <c r="AF70" s="56" t="s">
        <v>203</v>
      </c>
      <c r="AG70" s="97" t="s">
        <v>109</v>
      </c>
      <c r="AH70" s="85" t="s">
        <v>10</v>
      </c>
      <c r="AI70" s="197">
        <f>AH52*AO45/100</f>
        <v>0.8845799178082191</v>
      </c>
      <c r="AJ70" s="44"/>
      <c r="AK70" s="85" t="s">
        <v>112</v>
      </c>
      <c r="AL70" s="114" t="s">
        <v>90</v>
      </c>
      <c r="AM70" s="252" t="s">
        <v>203</v>
      </c>
      <c r="AN70" s="85"/>
      <c r="AO70" s="85"/>
      <c r="AP70" s="85"/>
      <c r="AQ70" s="44"/>
      <c r="BC70" s="483"/>
    </row>
    <row r="71" spans="1:62" x14ac:dyDescent="0.25">
      <c r="A71" s="302"/>
      <c r="D71" s="56" t="s">
        <v>203</v>
      </c>
      <c r="E71" s="97" t="s">
        <v>110</v>
      </c>
      <c r="F71" s="85" t="s">
        <v>10</v>
      </c>
      <c r="G71" s="197">
        <f>(G50)*N44/100</f>
        <v>1.6324076712328763</v>
      </c>
      <c r="H71" s="44"/>
      <c r="I71" s="44"/>
      <c r="J71" s="116"/>
      <c r="K71" s="252" t="s">
        <v>203</v>
      </c>
      <c r="L71" s="85"/>
      <c r="M71" s="85"/>
      <c r="N71" s="85"/>
      <c r="O71" s="44"/>
      <c r="AA71" s="302"/>
      <c r="AC71" s="483"/>
      <c r="AF71" s="56" t="s">
        <v>203</v>
      </c>
      <c r="AG71" s="97" t="s">
        <v>110</v>
      </c>
      <c r="AH71" s="85" t="s">
        <v>10</v>
      </c>
      <c r="AI71" s="197">
        <f>(AI50)*AP44/100</f>
        <v>1.3906516438356165</v>
      </c>
      <c r="AJ71" s="44"/>
      <c r="AK71" s="44"/>
      <c r="AL71" s="116"/>
      <c r="AM71" s="252" t="s">
        <v>203</v>
      </c>
      <c r="AN71" s="85"/>
      <c r="AO71" s="85"/>
      <c r="AP71" s="85"/>
      <c r="AQ71" s="44"/>
      <c r="BC71" s="483"/>
    </row>
    <row r="72" spans="1:62" x14ac:dyDescent="0.25">
      <c r="A72" s="302"/>
      <c r="D72" s="56" t="s">
        <v>203</v>
      </c>
      <c r="E72" s="97"/>
      <c r="F72" s="85"/>
      <c r="G72" s="176"/>
      <c r="H72" s="44"/>
      <c r="I72" s="85"/>
      <c r="J72" s="116"/>
      <c r="K72" s="252"/>
      <c r="L72" s="44"/>
      <c r="M72" s="44"/>
      <c r="N72" s="44"/>
      <c r="O72" s="44"/>
      <c r="V72" s="56" t="s">
        <v>210</v>
      </c>
      <c r="AA72" s="302"/>
      <c r="AC72" s="483"/>
      <c r="AF72" s="56" t="s">
        <v>203</v>
      </c>
      <c r="AG72" s="97"/>
      <c r="AH72" s="85"/>
      <c r="AI72" s="176"/>
      <c r="AJ72" s="44"/>
      <c r="AK72" s="85"/>
      <c r="AL72" s="116"/>
      <c r="AM72" s="252"/>
      <c r="AN72" s="44"/>
      <c r="AO72" s="44"/>
      <c r="AP72" s="44"/>
      <c r="AQ72" s="44"/>
      <c r="AX72" s="56" t="s">
        <v>210</v>
      </c>
      <c r="BC72" s="483"/>
    </row>
    <row r="73" spans="1:62" x14ac:dyDescent="0.25">
      <c r="A73" s="302"/>
      <c r="D73" s="56" t="s">
        <v>203</v>
      </c>
      <c r="E73" s="97" t="s">
        <v>239</v>
      </c>
      <c r="F73" s="85" t="s">
        <v>10</v>
      </c>
      <c r="G73" s="176">
        <f>_xlfn.AGGREGATE(9,6,G63,G64,G68,G69)</f>
        <v>0.51410621493150677</v>
      </c>
      <c r="H73" s="44"/>
      <c r="I73" s="85" t="s">
        <v>113</v>
      </c>
      <c r="J73" s="100"/>
      <c r="K73" s="252" t="s">
        <v>203</v>
      </c>
      <c r="L73" s="44"/>
      <c r="M73" s="44"/>
      <c r="N73" s="44"/>
      <c r="O73" s="44"/>
      <c r="V73" s="56" t="s">
        <v>210</v>
      </c>
      <c r="AA73" s="302"/>
      <c r="AC73" s="483"/>
      <c r="AF73" s="56" t="s">
        <v>203</v>
      </c>
      <c r="AG73" s="97" t="s">
        <v>239</v>
      </c>
      <c r="AH73" s="85" t="s">
        <v>10</v>
      </c>
      <c r="AI73" s="176">
        <f>_xlfn.AGGREGATE(9,6,AI63,AI64,AI68,AI69)</f>
        <v>0.43055439275684926</v>
      </c>
      <c r="AJ73" s="44"/>
      <c r="AK73" s="85" t="s">
        <v>113</v>
      </c>
      <c r="AL73" s="100"/>
      <c r="AM73" s="252" t="s">
        <v>203</v>
      </c>
      <c r="AN73" s="44"/>
      <c r="AO73" s="44"/>
      <c r="AP73" s="44"/>
      <c r="AQ73" s="44"/>
      <c r="AX73" s="56" t="s">
        <v>210</v>
      </c>
      <c r="BC73" s="483"/>
    </row>
    <row r="74" spans="1:62" x14ac:dyDescent="0.25">
      <c r="A74" s="302"/>
      <c r="D74" s="56" t="s">
        <v>203</v>
      </c>
      <c r="E74" s="97" t="s">
        <v>240</v>
      </c>
      <c r="F74" s="85" t="s">
        <v>10</v>
      </c>
      <c r="G74" s="176">
        <f>_xlfn.AGGREGATE(9,6,G65,G66,G70,G71)</f>
        <v>8.1703714931506841</v>
      </c>
      <c r="H74" s="44"/>
      <c r="I74" s="85" t="s">
        <v>114</v>
      </c>
      <c r="J74" s="100"/>
      <c r="K74" s="252" t="s">
        <v>203</v>
      </c>
      <c r="L74" s="85"/>
      <c r="M74" s="85"/>
      <c r="N74" s="85"/>
      <c r="O74" s="44"/>
      <c r="V74" s="56" t="s">
        <v>210</v>
      </c>
      <c r="AA74" s="302"/>
      <c r="AC74" s="483"/>
      <c r="AF74" s="56" t="s">
        <v>203</v>
      </c>
      <c r="AG74" s="97" t="s">
        <v>240</v>
      </c>
      <c r="AH74" s="85" t="s">
        <v>10</v>
      </c>
      <c r="AI74" s="176">
        <f>_xlfn.AGGREGATE(9,6,AI65,AI66,AI70,AI71)</f>
        <v>6.7651447808219167</v>
      </c>
      <c r="AJ74" s="44"/>
      <c r="AK74" s="85" t="s">
        <v>114</v>
      </c>
      <c r="AL74" s="100"/>
      <c r="AM74" s="252" t="s">
        <v>203</v>
      </c>
      <c r="AN74" s="85"/>
      <c r="AO74" s="85"/>
      <c r="AP74" s="85"/>
      <c r="AQ74" s="44"/>
      <c r="AX74" s="56" t="s">
        <v>210</v>
      </c>
      <c r="BC74" s="483"/>
    </row>
    <row r="75" spans="1:62" x14ac:dyDescent="0.25">
      <c r="A75" s="302"/>
      <c r="D75" s="56" t="s">
        <v>203</v>
      </c>
      <c r="E75" s="97"/>
      <c r="F75" s="85"/>
      <c r="G75" s="85"/>
      <c r="H75" s="44"/>
      <c r="I75" s="85"/>
      <c r="J75" s="100"/>
      <c r="K75" s="252" t="s">
        <v>203</v>
      </c>
      <c r="L75" s="44"/>
      <c r="M75" s="44"/>
      <c r="N75" s="85"/>
      <c r="O75" s="44"/>
      <c r="V75" s="56" t="s">
        <v>210</v>
      </c>
      <c r="AA75" s="302"/>
      <c r="AC75" s="483"/>
      <c r="AF75" s="56" t="s">
        <v>203</v>
      </c>
      <c r="AG75" s="97"/>
      <c r="AH75" s="85"/>
      <c r="AI75" s="85"/>
      <c r="AJ75" s="44"/>
      <c r="AK75" s="85"/>
      <c r="AL75" s="100"/>
      <c r="AM75" s="252" t="s">
        <v>203</v>
      </c>
      <c r="AN75" s="44"/>
      <c r="AO75" s="44"/>
      <c r="AP75" s="85"/>
      <c r="AQ75" s="44"/>
      <c r="AX75" s="56" t="s">
        <v>210</v>
      </c>
      <c r="BC75" s="483"/>
    </row>
    <row r="76" spans="1:62" x14ac:dyDescent="0.25">
      <c r="A76" s="302"/>
      <c r="D76" s="56" t="s">
        <v>203</v>
      </c>
      <c r="E76" s="97" t="s">
        <v>91</v>
      </c>
      <c r="F76" s="85"/>
      <c r="G76" s="85"/>
      <c r="H76" s="44"/>
      <c r="I76" s="85"/>
      <c r="J76" s="85"/>
      <c r="K76" s="251" t="s">
        <v>203</v>
      </c>
      <c r="L76" s="99"/>
      <c r="M76" s="85"/>
      <c r="N76" s="85"/>
      <c r="O76" s="44"/>
      <c r="V76" s="56" t="s">
        <v>210</v>
      </c>
      <c r="AA76" s="302"/>
      <c r="AC76" s="483"/>
      <c r="AF76" s="56" t="s">
        <v>203</v>
      </c>
      <c r="AG76" s="97" t="s">
        <v>91</v>
      </c>
      <c r="AH76" s="85"/>
      <c r="AI76" s="85"/>
      <c r="AJ76" s="44"/>
      <c r="AK76" s="85"/>
      <c r="AL76" s="85"/>
      <c r="AM76" s="251" t="s">
        <v>203</v>
      </c>
      <c r="AN76" s="99"/>
      <c r="AO76" s="85"/>
      <c r="AP76" s="85"/>
      <c r="AQ76" s="44"/>
      <c r="AX76" s="56" t="s">
        <v>210</v>
      </c>
      <c r="BC76" s="483"/>
    </row>
    <row r="77" spans="1:62" x14ac:dyDescent="0.25">
      <c r="A77" s="302"/>
      <c r="D77" s="56" t="s">
        <v>203</v>
      </c>
      <c r="E77" s="97" t="s">
        <v>190</v>
      </c>
      <c r="F77" s="85" t="s">
        <v>13</v>
      </c>
      <c r="G77" s="176">
        <f>G57*(44/28)*$U$13</f>
        <v>33.115273972602743</v>
      </c>
      <c r="H77" s="44"/>
      <c r="I77" s="85" t="s">
        <v>173</v>
      </c>
      <c r="J77" s="85"/>
      <c r="K77" s="251" t="s">
        <v>203</v>
      </c>
      <c r="L77" s="85"/>
      <c r="M77" s="85"/>
      <c r="N77" s="85"/>
      <c r="O77" s="44"/>
      <c r="V77" s="56" t="s">
        <v>210</v>
      </c>
      <c r="AA77" s="302"/>
      <c r="AC77" s="483"/>
      <c r="AF77" s="56" t="s">
        <v>203</v>
      </c>
      <c r="AG77" s="97" t="s">
        <v>190</v>
      </c>
      <c r="AH77" s="85" t="s">
        <v>13</v>
      </c>
      <c r="AI77" s="176">
        <f>AI57*(44/28)*$U$13</f>
        <v>27.356095890410955</v>
      </c>
      <c r="AJ77" s="44"/>
      <c r="AK77" s="85" t="s">
        <v>173</v>
      </c>
      <c r="AL77" s="85"/>
      <c r="AM77" s="251" t="s">
        <v>203</v>
      </c>
      <c r="AN77" s="85"/>
      <c r="AO77" s="85"/>
      <c r="AP77" s="85"/>
      <c r="AQ77" s="44"/>
      <c r="AX77" s="56" t="s">
        <v>210</v>
      </c>
      <c r="BC77" s="483"/>
    </row>
    <row r="78" spans="1:62" x14ac:dyDescent="0.25">
      <c r="A78" s="302"/>
      <c r="D78" s="56" t="s">
        <v>203</v>
      </c>
      <c r="E78" s="97" t="s">
        <v>189</v>
      </c>
      <c r="F78" s="85" t="s">
        <v>13</v>
      </c>
      <c r="G78" s="182">
        <f>G58*(44/28)*M54*$U$13</f>
        <v>0.17385518835616437</v>
      </c>
      <c r="H78" s="44"/>
      <c r="I78" s="85" t="s">
        <v>174</v>
      </c>
      <c r="J78" s="85"/>
      <c r="K78" s="251" t="s">
        <v>203</v>
      </c>
      <c r="L78" s="85"/>
      <c r="M78" s="85"/>
      <c r="N78" s="85"/>
      <c r="O78" s="44"/>
      <c r="V78" s="56" t="s">
        <v>210</v>
      </c>
      <c r="AA78" s="302"/>
      <c r="AC78" s="483"/>
      <c r="AF78" s="56" t="s">
        <v>203</v>
      </c>
      <c r="AG78" s="97" t="s">
        <v>189</v>
      </c>
      <c r="AH78" s="85" t="s">
        <v>13</v>
      </c>
      <c r="AI78" s="182">
        <f>AI58*(44/28)*AO54*$U$13</f>
        <v>0.14361950342465754</v>
      </c>
      <c r="AJ78" s="44"/>
      <c r="AK78" s="85" t="s">
        <v>174</v>
      </c>
      <c r="AL78" s="85"/>
      <c r="AM78" s="251" t="s">
        <v>203</v>
      </c>
      <c r="AN78" s="85"/>
      <c r="AO78" s="85"/>
      <c r="AP78" s="85"/>
      <c r="AQ78" s="44"/>
      <c r="AX78" s="56" t="s">
        <v>210</v>
      </c>
      <c r="BC78" s="483"/>
    </row>
    <row r="79" spans="1:62" x14ac:dyDescent="0.25">
      <c r="A79" s="302"/>
      <c r="D79" s="56" t="s">
        <v>203</v>
      </c>
      <c r="E79" s="97" t="s">
        <v>198</v>
      </c>
      <c r="F79" s="85" t="s">
        <v>13</v>
      </c>
      <c r="G79" s="182">
        <f>G59*(44/28)*M56*$U$13</f>
        <v>0.21856080821917806</v>
      </c>
      <c r="H79" s="44"/>
      <c r="I79" s="85" t="s">
        <v>199</v>
      </c>
      <c r="J79" s="85"/>
      <c r="K79" s="251" t="s">
        <v>203</v>
      </c>
      <c r="L79" s="85"/>
      <c r="M79" s="85"/>
      <c r="N79" s="85"/>
      <c r="O79" s="44"/>
      <c r="V79" s="56" t="s">
        <v>210</v>
      </c>
      <c r="AA79" s="302"/>
      <c r="AC79" s="483"/>
      <c r="AF79" s="56" t="s">
        <v>203</v>
      </c>
      <c r="AG79" s="97" t="s">
        <v>198</v>
      </c>
      <c r="AH79" s="85" t="s">
        <v>13</v>
      </c>
      <c r="AI79" s="182">
        <f>AI59*(44/28)*AO56*$U$13</f>
        <v>0.18055023287671229</v>
      </c>
      <c r="AJ79" s="44"/>
      <c r="AK79" s="85" t="s">
        <v>199</v>
      </c>
      <c r="AL79" s="85"/>
      <c r="AM79" s="251" t="s">
        <v>203</v>
      </c>
      <c r="AN79" s="85"/>
      <c r="AO79" s="85"/>
      <c r="AP79" s="85"/>
      <c r="AQ79" s="44"/>
      <c r="AX79" s="56" t="s">
        <v>210</v>
      </c>
      <c r="BC79" s="483"/>
    </row>
    <row r="80" spans="1:62" x14ac:dyDescent="0.25">
      <c r="A80" s="302"/>
      <c r="D80" s="56" t="s">
        <v>203</v>
      </c>
      <c r="E80" s="66"/>
      <c r="F80" s="44"/>
      <c r="G80" s="44"/>
      <c r="H80" s="44"/>
      <c r="I80" s="44"/>
      <c r="J80" s="44"/>
      <c r="K80" s="251" t="s">
        <v>203</v>
      </c>
      <c r="L80" s="85"/>
      <c r="M80" s="85"/>
      <c r="N80" s="85"/>
      <c r="O80" s="44"/>
      <c r="V80" s="56" t="s">
        <v>210</v>
      </c>
      <c r="AA80" s="302"/>
      <c r="AC80" s="483"/>
      <c r="AF80" s="56" t="s">
        <v>203</v>
      </c>
      <c r="AG80" s="66"/>
      <c r="AH80" s="44"/>
      <c r="AI80" s="44"/>
      <c r="AJ80" s="44"/>
      <c r="AK80" s="44"/>
      <c r="AL80" s="44"/>
      <c r="AM80" s="251" t="s">
        <v>203</v>
      </c>
      <c r="AN80" s="85"/>
      <c r="AO80" s="85"/>
      <c r="AP80" s="85"/>
      <c r="AQ80" s="44"/>
      <c r="AX80" s="56" t="s">
        <v>210</v>
      </c>
      <c r="BC80" s="483"/>
    </row>
    <row r="81" spans="1:55" x14ac:dyDescent="0.25">
      <c r="A81" s="302"/>
      <c r="D81" s="56" t="s">
        <v>203</v>
      </c>
      <c r="E81" s="97" t="s">
        <v>15</v>
      </c>
      <c r="F81" s="85"/>
      <c r="G81" s="85"/>
      <c r="H81" s="44"/>
      <c r="I81" s="85"/>
      <c r="J81" s="85"/>
      <c r="K81" s="65"/>
      <c r="L81" s="85"/>
      <c r="M81" s="85"/>
      <c r="N81" s="85"/>
      <c r="O81" s="44"/>
      <c r="V81" s="56" t="s">
        <v>210</v>
      </c>
      <c r="AA81" s="302"/>
      <c r="AC81" s="483"/>
      <c r="AF81" s="56" t="s">
        <v>203</v>
      </c>
      <c r="AG81" s="97" t="s">
        <v>15</v>
      </c>
      <c r="AH81" s="85"/>
      <c r="AI81" s="85"/>
      <c r="AJ81" s="44"/>
      <c r="AK81" s="85"/>
      <c r="AL81" s="85"/>
      <c r="AM81" s="65"/>
      <c r="AN81" s="85"/>
      <c r="AO81" s="85"/>
      <c r="AP81" s="85"/>
      <c r="AQ81" s="44"/>
      <c r="AX81" s="56" t="s">
        <v>210</v>
      </c>
      <c r="BC81" s="483"/>
    </row>
    <row r="82" spans="1:55" x14ac:dyDescent="0.25">
      <c r="A82" s="302"/>
      <c r="D82" s="56" t="s">
        <v>203</v>
      </c>
      <c r="E82" s="96" t="s">
        <v>186</v>
      </c>
      <c r="F82" s="84" t="s">
        <v>13</v>
      </c>
      <c r="G82" s="182">
        <f>G73*(44/28)*$U$13</f>
        <v>220.55156620561641</v>
      </c>
      <c r="H82" s="44"/>
      <c r="I82" s="85" t="s">
        <v>175</v>
      </c>
      <c r="J82" s="85"/>
      <c r="K82" s="251" t="s">
        <v>203</v>
      </c>
      <c r="L82" s="85"/>
      <c r="M82" s="85"/>
      <c r="N82" s="85"/>
      <c r="O82" s="44"/>
      <c r="AA82" s="302"/>
      <c r="AC82" s="483"/>
      <c r="AF82" s="56" t="s">
        <v>203</v>
      </c>
      <c r="AG82" s="96" t="s">
        <v>186</v>
      </c>
      <c r="AH82" s="84" t="s">
        <v>13</v>
      </c>
      <c r="AI82" s="182">
        <f>AI73*(44/28)*$U$13</f>
        <v>184.70783449268831</v>
      </c>
      <c r="AJ82" s="44"/>
      <c r="AK82" s="85" t="s">
        <v>175</v>
      </c>
      <c r="AL82" s="85"/>
      <c r="AM82" s="251" t="s">
        <v>203</v>
      </c>
      <c r="AN82" s="85"/>
      <c r="AO82" s="85"/>
      <c r="AP82" s="85"/>
      <c r="AQ82" s="44"/>
      <c r="BC82" s="483"/>
    </row>
    <row r="83" spans="1:55" x14ac:dyDescent="0.25">
      <c r="A83" s="302"/>
      <c r="D83" s="56" t="s">
        <v>203</v>
      </c>
      <c r="E83" s="96" t="s">
        <v>187</v>
      </c>
      <c r="F83" s="84" t="s">
        <v>13</v>
      </c>
      <c r="G83" s="182">
        <f>G74*(44/28)*M54*$U$13</f>
        <v>35.050893705616438</v>
      </c>
      <c r="H83" s="44"/>
      <c r="I83" s="85" t="s">
        <v>176</v>
      </c>
      <c r="J83" s="85"/>
      <c r="K83" s="251" t="s">
        <v>203</v>
      </c>
      <c r="L83" s="195"/>
      <c r="M83" s="195"/>
      <c r="N83" s="195"/>
      <c r="AA83" s="302"/>
      <c r="AC83" s="483"/>
      <c r="AF83" s="56" t="s">
        <v>203</v>
      </c>
      <c r="AG83" s="96" t="s">
        <v>187</v>
      </c>
      <c r="AH83" s="84" t="s">
        <v>13</v>
      </c>
      <c r="AI83" s="182">
        <f>AI74*(44/28)*AO54*$U$13</f>
        <v>29.02247110972602</v>
      </c>
      <c r="AJ83" s="44"/>
      <c r="AK83" s="85" t="s">
        <v>176</v>
      </c>
      <c r="AL83" s="85"/>
      <c r="AM83" s="251" t="s">
        <v>203</v>
      </c>
      <c r="AN83" s="195"/>
      <c r="AO83" s="195"/>
      <c r="AP83" s="195"/>
      <c r="BC83" s="483"/>
    </row>
    <row r="84" spans="1:55" x14ac:dyDescent="0.25">
      <c r="A84" s="302"/>
      <c r="D84" s="56" t="s">
        <v>203</v>
      </c>
      <c r="E84" s="96"/>
      <c r="F84" s="84"/>
      <c r="G84" s="182"/>
      <c r="H84" s="44"/>
      <c r="I84" s="85"/>
      <c r="J84" s="85"/>
      <c r="K84" s="251" t="s">
        <v>203</v>
      </c>
      <c r="L84" s="195"/>
      <c r="M84" s="195"/>
      <c r="N84" s="195"/>
      <c r="AA84" s="302"/>
      <c r="AC84" s="483"/>
      <c r="AF84" s="56" t="s">
        <v>203</v>
      </c>
      <c r="AG84" s="96"/>
      <c r="AH84" s="84"/>
      <c r="AI84" s="182"/>
      <c r="AJ84" s="44"/>
      <c r="AK84" s="85"/>
      <c r="AL84" s="85"/>
      <c r="AM84" s="251" t="s">
        <v>203</v>
      </c>
      <c r="AN84" s="195"/>
      <c r="AO84" s="195"/>
      <c r="AP84" s="195"/>
      <c r="BC84" s="483"/>
    </row>
    <row r="85" spans="1:55" x14ac:dyDescent="0.25">
      <c r="A85" s="302"/>
      <c r="D85" s="56" t="s">
        <v>203</v>
      </c>
      <c r="E85" s="97" t="s">
        <v>92</v>
      </c>
      <c r="F85" s="85"/>
      <c r="G85" s="85"/>
      <c r="H85" s="44"/>
      <c r="I85" s="85"/>
      <c r="J85" s="85"/>
      <c r="K85" s="251" t="s">
        <v>203</v>
      </c>
      <c r="L85" s="195"/>
      <c r="M85" s="195"/>
      <c r="N85" s="195"/>
      <c r="AA85" s="302"/>
      <c r="AC85" s="483"/>
      <c r="AF85" s="56" t="s">
        <v>203</v>
      </c>
      <c r="AG85" s="97" t="s">
        <v>92</v>
      </c>
      <c r="AH85" s="85"/>
      <c r="AI85" s="85"/>
      <c r="AJ85" s="44"/>
      <c r="AK85" s="85"/>
      <c r="AL85" s="85"/>
      <c r="AM85" s="251" t="s">
        <v>203</v>
      </c>
      <c r="AN85" s="195"/>
      <c r="AO85" s="195"/>
      <c r="AP85" s="195"/>
      <c r="BC85" s="483"/>
    </row>
    <row r="86" spans="1:55" x14ac:dyDescent="0.25">
      <c r="A86" s="302"/>
      <c r="D86" s="56" t="s">
        <v>203</v>
      </c>
      <c r="E86" s="97" t="s">
        <v>191</v>
      </c>
      <c r="F86" s="84" t="s">
        <v>13</v>
      </c>
      <c r="G86" s="176">
        <f>G77+G82</f>
        <v>253.66684017821916</v>
      </c>
      <c r="H86" s="44"/>
      <c r="I86" s="85"/>
      <c r="J86" s="85"/>
      <c r="K86" s="251" t="s">
        <v>203</v>
      </c>
      <c r="L86" s="195"/>
      <c r="M86" s="195"/>
      <c r="N86" s="195"/>
      <c r="AA86" s="302"/>
      <c r="AC86" s="483"/>
      <c r="AF86" s="56" t="s">
        <v>203</v>
      </c>
      <c r="AG86" s="97" t="s">
        <v>191</v>
      </c>
      <c r="AH86" s="84" t="s">
        <v>13</v>
      </c>
      <c r="AI86" s="176">
        <f>AI77+AI82</f>
        <v>212.06393038309926</v>
      </c>
      <c r="AJ86" s="44"/>
      <c r="AK86" s="85"/>
      <c r="AL86" s="85"/>
      <c r="AM86" s="251" t="s">
        <v>203</v>
      </c>
      <c r="AN86" s="195"/>
      <c r="AO86" s="195"/>
      <c r="AP86" s="195"/>
      <c r="BC86" s="483"/>
    </row>
    <row r="87" spans="1:55" x14ac:dyDescent="0.25">
      <c r="A87" s="302"/>
      <c r="D87" s="56" t="s">
        <v>203</v>
      </c>
      <c r="E87" s="97" t="s">
        <v>192</v>
      </c>
      <c r="F87" s="84" t="s">
        <v>13</v>
      </c>
      <c r="G87" s="176">
        <f>G78+G79+G83</f>
        <v>35.443309702191783</v>
      </c>
      <c r="H87" s="44"/>
      <c r="I87" s="85"/>
      <c r="J87" s="85"/>
      <c r="K87" s="251" t="s">
        <v>203</v>
      </c>
      <c r="L87" s="195"/>
      <c r="M87" s="195"/>
      <c r="N87" s="195"/>
      <c r="AA87" s="302"/>
      <c r="AC87" s="483"/>
      <c r="AF87" s="56" t="s">
        <v>203</v>
      </c>
      <c r="AG87" s="97" t="s">
        <v>192</v>
      </c>
      <c r="AH87" s="84" t="s">
        <v>13</v>
      </c>
      <c r="AI87" s="176">
        <f>AI78+AI79+AI83</f>
        <v>29.346640846027391</v>
      </c>
      <c r="AJ87" s="44"/>
      <c r="AK87" s="85"/>
      <c r="AL87" s="85"/>
      <c r="AM87" s="251" t="s">
        <v>203</v>
      </c>
      <c r="AN87" s="195"/>
      <c r="AO87" s="195"/>
      <c r="AP87" s="195"/>
      <c r="BC87" s="483"/>
    </row>
    <row r="88" spans="1:55" x14ac:dyDescent="0.25">
      <c r="A88" s="302"/>
      <c r="D88" s="56" t="s">
        <v>203</v>
      </c>
      <c r="E88" s="115"/>
      <c r="F88" s="24"/>
      <c r="G88" s="24"/>
      <c r="H88" s="24"/>
      <c r="I88" s="24"/>
      <c r="J88" s="24"/>
      <c r="K88" s="253" t="s">
        <v>203</v>
      </c>
      <c r="L88" s="195"/>
      <c r="M88" s="195"/>
      <c r="N88" s="195"/>
      <c r="AA88" s="302"/>
      <c r="AC88" s="483"/>
      <c r="AF88" s="56" t="s">
        <v>203</v>
      </c>
      <c r="AG88" s="115"/>
      <c r="AH88" s="24"/>
      <c r="AI88" s="24"/>
      <c r="AJ88" s="24"/>
      <c r="AK88" s="24"/>
      <c r="AL88" s="24"/>
      <c r="AM88" s="253" t="s">
        <v>203</v>
      </c>
      <c r="AN88" s="195"/>
      <c r="AO88" s="195"/>
      <c r="AP88" s="195"/>
      <c r="BC88" s="483"/>
    </row>
    <row r="89" spans="1:55" x14ac:dyDescent="0.25">
      <c r="E89" s="44"/>
      <c r="F89" s="44"/>
      <c r="G89" s="44"/>
      <c r="I89" s="44"/>
      <c r="J89" s="44"/>
      <c r="K89" s="208" t="s">
        <v>203</v>
      </c>
      <c r="L89" s="195"/>
      <c r="M89" s="195"/>
      <c r="N89" s="195"/>
      <c r="V89" s="56" t="s">
        <v>210</v>
      </c>
      <c r="AG89" s="44"/>
      <c r="AH89" s="44"/>
      <c r="AI89" s="44"/>
      <c r="AK89" s="44"/>
      <c r="AL89" s="44"/>
      <c r="AM89" s="208" t="s">
        <v>203</v>
      </c>
      <c r="AN89" s="195"/>
      <c r="AO89" s="195"/>
      <c r="AP89" s="195"/>
      <c r="AX89" s="56" t="s">
        <v>210</v>
      </c>
    </row>
    <row r="90" spans="1:55" x14ac:dyDescent="0.25">
      <c r="A90" s="302"/>
      <c r="B90" s="562" t="str">
        <f>'CH4_Gylle_Stald&amp;Lager'!V71</f>
        <v>Malkekøer, tung race Kalve 0-1 mdr. -tk01</v>
      </c>
      <c r="C90" s="195"/>
      <c r="K90" s="207" t="s">
        <v>203</v>
      </c>
      <c r="L90" s="195"/>
      <c r="M90" s="195"/>
      <c r="N90" s="195"/>
      <c r="Q90" s="577" t="str">
        <f>B90</f>
        <v>Malkekøer, tung race Kalve 0-1 mdr. -tk01</v>
      </c>
      <c r="R90" s="139"/>
      <c r="S90" s="139"/>
      <c r="T90" s="139"/>
      <c r="U90" s="139"/>
      <c r="V90" s="139" t="s">
        <v>210</v>
      </c>
      <c r="W90" s="139"/>
      <c r="X90" s="139"/>
      <c r="Y90" s="139"/>
      <c r="Z90" s="139"/>
      <c r="AA90" s="302"/>
      <c r="AC90" s="483"/>
      <c r="AD90" s="562" t="str">
        <f>'CH4_Gylle_Stald&amp;Lager'!AH71</f>
        <v>Malkekøer, jersey Kalve 0-1 mdr. -jk01</v>
      </c>
      <c r="AE90" s="195"/>
      <c r="AM90" s="207" t="s">
        <v>203</v>
      </c>
      <c r="AN90" s="195"/>
      <c r="AO90" s="195"/>
      <c r="AP90" s="195"/>
      <c r="AS90" s="678" t="str">
        <f>AD90</f>
        <v>Malkekøer, jersey Kalve 0-1 mdr. -jk01</v>
      </c>
      <c r="AT90" s="139"/>
      <c r="AU90" s="139"/>
      <c r="AV90" s="139"/>
      <c r="AW90" s="139"/>
      <c r="AX90" s="139" t="s">
        <v>210</v>
      </c>
      <c r="AY90" s="139"/>
      <c r="AZ90" s="139"/>
      <c r="BA90" s="139"/>
      <c r="BB90" s="139"/>
      <c r="BC90" s="483"/>
    </row>
    <row r="91" spans="1:55" x14ac:dyDescent="0.25">
      <c r="A91" s="302"/>
      <c r="B91" s="135" t="s">
        <v>93</v>
      </c>
      <c r="C91" s="567"/>
      <c r="E91" s="104"/>
      <c r="F91" s="674"/>
      <c r="G91" s="111"/>
      <c r="H91" s="111"/>
      <c r="I91" s="111"/>
      <c r="J91" s="111"/>
      <c r="K91" s="248" t="s">
        <v>203</v>
      </c>
      <c r="L91" s="178"/>
      <c r="M91" s="178" t="s">
        <v>23</v>
      </c>
      <c r="N91" s="200" t="s">
        <v>27</v>
      </c>
      <c r="Q91" s="103"/>
      <c r="R91" s="191"/>
      <c r="S91" s="191"/>
      <c r="T91" s="191"/>
      <c r="U91" s="297"/>
      <c r="V91" s="298" t="s">
        <v>210</v>
      </c>
      <c r="W91" s="178"/>
      <c r="X91" s="178" t="s">
        <v>23</v>
      </c>
      <c r="Y91" s="200" t="s">
        <v>27</v>
      </c>
      <c r="Z91" s="139"/>
      <c r="AA91" s="302"/>
      <c r="AC91" s="483"/>
      <c r="AD91" s="135" t="s">
        <v>93</v>
      </c>
      <c r="AE91" s="567"/>
      <c r="AG91" s="104"/>
      <c r="AH91" s="674"/>
      <c r="AI91" s="111"/>
      <c r="AJ91" s="111"/>
      <c r="AK91" s="111"/>
      <c r="AL91" s="111"/>
      <c r="AM91" s="248" t="s">
        <v>203</v>
      </c>
      <c r="AN91" s="178"/>
      <c r="AO91" s="178" t="s">
        <v>23</v>
      </c>
      <c r="AP91" s="200" t="s">
        <v>27</v>
      </c>
      <c r="AS91" s="103"/>
      <c r="AT91" s="191"/>
      <c r="AU91" s="191"/>
      <c r="AV91" s="191"/>
      <c r="AW91" s="297"/>
      <c r="AX91" s="298" t="s">
        <v>210</v>
      </c>
      <c r="AY91" s="178"/>
      <c r="AZ91" s="178" t="s">
        <v>23</v>
      </c>
      <c r="BA91" s="200" t="s">
        <v>27</v>
      </c>
      <c r="BB91" s="139"/>
      <c r="BC91" s="483"/>
    </row>
    <row r="92" spans="1:55" x14ac:dyDescent="0.25">
      <c r="A92" s="302"/>
      <c r="B92" s="136" t="s">
        <v>81</v>
      </c>
      <c r="C92" s="575">
        <f>'CH4_Gylle_Stald&amp;Lager'!X74</f>
        <v>0</v>
      </c>
      <c r="E92" s="105" t="s">
        <v>231</v>
      </c>
      <c r="F92" s="123"/>
      <c r="G92" s="123"/>
      <c r="H92" s="123"/>
      <c r="I92" s="123"/>
      <c r="J92" s="123"/>
      <c r="K92" s="249" t="s">
        <v>203</v>
      </c>
      <c r="L92" s="175" t="s">
        <v>236</v>
      </c>
      <c r="M92" s="44"/>
      <c r="N92" s="65"/>
      <c r="Q92" s="255" t="s">
        <v>241</v>
      </c>
      <c r="R92" s="675">
        <f>F91</f>
        <v>0</v>
      </c>
      <c r="S92" s="192"/>
      <c r="T92" s="192"/>
      <c r="U92" s="192"/>
      <c r="V92" s="243"/>
      <c r="W92" s="175" t="s">
        <v>361</v>
      </c>
      <c r="X92" s="85"/>
      <c r="Y92" s="186"/>
      <c r="Z92" s="139"/>
      <c r="AA92" s="302"/>
      <c r="AC92" s="483"/>
      <c r="AD92" s="136" t="s">
        <v>81</v>
      </c>
      <c r="AE92" s="575">
        <f>'CH4_Gylle_Stald&amp;Lager'!AJ74</f>
        <v>0</v>
      </c>
      <c r="AG92" s="105" t="s">
        <v>231</v>
      </c>
      <c r="AH92" s="123"/>
      <c r="AI92" s="123"/>
      <c r="AJ92" s="123"/>
      <c r="AK92" s="123"/>
      <c r="AL92" s="123"/>
      <c r="AM92" s="249" t="s">
        <v>203</v>
      </c>
      <c r="AN92" s="175" t="s">
        <v>236</v>
      </c>
      <c r="AO92" s="44"/>
      <c r="AP92" s="65"/>
      <c r="AS92" s="255" t="s">
        <v>241</v>
      </c>
      <c r="AT92" s="675">
        <f>AH91</f>
        <v>0</v>
      </c>
      <c r="AU92" s="192"/>
      <c r="AV92" s="192"/>
      <c r="AW92" s="192"/>
      <c r="AX92" s="243"/>
      <c r="AY92" s="175" t="s">
        <v>361</v>
      </c>
      <c r="AZ92" s="85"/>
      <c r="BA92" s="186"/>
      <c r="BB92" s="139"/>
      <c r="BC92" s="483"/>
    </row>
    <row r="93" spans="1:55" x14ac:dyDescent="0.25">
      <c r="A93" s="302"/>
      <c r="B93" s="137" t="s">
        <v>82</v>
      </c>
      <c r="C93" s="576">
        <f>'CH4_Gylle_Stald&amp;Lager'!X75</f>
        <v>0</v>
      </c>
      <c r="E93" s="106"/>
      <c r="F93" s="676" t="s">
        <v>26</v>
      </c>
      <c r="G93" s="112"/>
      <c r="H93" s="112"/>
      <c r="I93" s="112"/>
      <c r="J93" s="112"/>
      <c r="K93" s="250" t="s">
        <v>203</v>
      </c>
      <c r="L93" s="44" t="s">
        <v>170</v>
      </c>
      <c r="M93" s="44">
        <f>INDEX($E$4:$N$19,MATCH(F92,$E$4:$E$19, 0),3)</f>
        <v>0</v>
      </c>
      <c r="N93" s="65">
        <f>INDEX($E$4:$N$19,MATCH(F92,$E$4:$E$19, 0),4)</f>
        <v>0</v>
      </c>
      <c r="Q93" s="255" t="s">
        <v>242</v>
      </c>
      <c r="R93" s="675" t="str">
        <f>F93</f>
        <v>Dybstrøelse (hele arealet)</v>
      </c>
      <c r="S93" s="192"/>
      <c r="T93" s="192"/>
      <c r="U93" s="192"/>
      <c r="V93" s="243"/>
      <c r="W93" s="44" t="s">
        <v>170</v>
      </c>
      <c r="X93" s="44">
        <f>INDEX($E$22:$N$24,MATCH(R94,$E$22:$E$24, 0),3)</f>
        <v>0</v>
      </c>
      <c r="Y93" s="65">
        <f>INDEX($E$22:$N$24,MATCH(R94,$E$22:$E$24, 0),4)</f>
        <v>0</v>
      </c>
      <c r="Z93" s="139"/>
      <c r="AA93" s="302"/>
      <c r="AC93" s="483"/>
      <c r="AD93" s="137" t="s">
        <v>82</v>
      </c>
      <c r="AE93" s="576">
        <f>'CH4_Gylle_Stald&amp;Lager'!AJ75</f>
        <v>0</v>
      </c>
      <c r="AG93" s="106"/>
      <c r="AH93" s="676" t="s">
        <v>26</v>
      </c>
      <c r="AI93" s="112"/>
      <c r="AJ93" s="112"/>
      <c r="AK93" s="112"/>
      <c r="AL93" s="112"/>
      <c r="AM93" s="250" t="s">
        <v>203</v>
      </c>
      <c r="AN93" s="44" t="s">
        <v>170</v>
      </c>
      <c r="AO93" s="44">
        <f>INDEX($E$4:$N$19,MATCH(AH92,$E$4:$E$19, 0),3)</f>
        <v>0</v>
      </c>
      <c r="AP93" s="65">
        <f>INDEX($E$4:$N$19,MATCH(AH92,$E$4:$E$19, 0),4)</f>
        <v>0</v>
      </c>
      <c r="AS93" s="255" t="s">
        <v>242</v>
      </c>
      <c r="AT93" s="675" t="str">
        <f>AH93</f>
        <v>Dybstrøelse (hele arealet)</v>
      </c>
      <c r="AU93" s="192"/>
      <c r="AV93" s="192"/>
      <c r="AW93" s="192"/>
      <c r="AX93" s="243"/>
      <c r="AY93" s="44" t="s">
        <v>170</v>
      </c>
      <c r="AZ93" s="44">
        <f>INDEX($E$22:$N$24,MATCH(AT94,$E$22:$E$24, 0),3)</f>
        <v>0</v>
      </c>
      <c r="BA93" s="65">
        <f>INDEX($E$22:$N$24,MATCH(AT94,$E$22:$E$24, 0),4)</f>
        <v>0</v>
      </c>
      <c r="BB93" s="139"/>
      <c r="BC93" s="483"/>
    </row>
    <row r="94" spans="1:55" x14ac:dyDescent="0.25">
      <c r="A94" s="303"/>
      <c r="B94" s="138"/>
      <c r="C94" s="568"/>
      <c r="E94" s="43"/>
      <c r="F94" s="294" t="s">
        <v>5</v>
      </c>
      <c r="G94" s="295" t="s">
        <v>6</v>
      </c>
      <c r="H94" s="296" t="s">
        <v>356</v>
      </c>
      <c r="I94" s="44"/>
      <c r="J94" s="44"/>
      <c r="K94" s="251" t="s">
        <v>203</v>
      </c>
      <c r="L94" s="44" t="s">
        <v>2</v>
      </c>
      <c r="M94" s="44"/>
      <c r="N94" s="65">
        <f>INDEX($E$4:$N$19,MATCH(F92,$E$4:$E$19, 0),7)</f>
        <v>0</v>
      </c>
      <c r="Q94" s="255" t="s">
        <v>360</v>
      </c>
      <c r="R94" s="675"/>
      <c r="S94" s="192"/>
      <c r="T94" s="192"/>
      <c r="U94" s="192"/>
      <c r="V94" s="243"/>
      <c r="W94" s="44" t="s">
        <v>1</v>
      </c>
      <c r="X94" s="44">
        <f>INDEX($E$22:$N$24,MATCH(R94,$E$22:$E$24, 0),6)</f>
        <v>0</v>
      </c>
      <c r="Y94" s="65"/>
      <c r="Z94" s="139"/>
      <c r="AA94" s="303"/>
      <c r="AC94" s="484"/>
      <c r="AD94" s="138"/>
      <c r="AE94" s="568"/>
      <c r="AG94" s="43"/>
      <c r="AH94" s="294" t="s">
        <v>5</v>
      </c>
      <c r="AI94" s="295" t="s">
        <v>6</v>
      </c>
      <c r="AJ94" s="296" t="s">
        <v>356</v>
      </c>
      <c r="AK94" s="44"/>
      <c r="AL94" s="44"/>
      <c r="AM94" s="251" t="s">
        <v>203</v>
      </c>
      <c r="AN94" s="44" t="s">
        <v>2</v>
      </c>
      <c r="AO94" s="44"/>
      <c r="AP94" s="65">
        <f>INDEX($E$4:$N$19,MATCH(AH92,$E$4:$E$19, 0),7)</f>
        <v>0</v>
      </c>
      <c r="AS94" s="255" t="s">
        <v>360</v>
      </c>
      <c r="AT94" s="675"/>
      <c r="AU94" s="192"/>
      <c r="AV94" s="192"/>
      <c r="AW94" s="192"/>
      <c r="AX94" s="243"/>
      <c r="AY94" s="44" t="s">
        <v>1</v>
      </c>
      <c r="AZ94" s="44">
        <f>INDEX($E$22:$N$24,MATCH(AT94,$E$22:$E$24, 0),6)</f>
        <v>0</v>
      </c>
      <c r="BA94" s="65"/>
      <c r="BB94" s="139"/>
      <c r="BC94" s="484"/>
    </row>
    <row r="95" spans="1:55" x14ac:dyDescent="0.25">
      <c r="A95" s="303"/>
      <c r="B95" s="229" t="s">
        <v>221</v>
      </c>
      <c r="C95" s="569"/>
      <c r="E95" s="66" t="s">
        <v>101</v>
      </c>
      <c r="F95" s="305">
        <f>INDEX(Normtal!$Q$3:$AC$551,MATCH(B90,Normtal!$Q$3:$Q$551,0),3)</f>
        <v>22.564316455696201</v>
      </c>
      <c r="G95" s="281"/>
      <c r="H95" s="285">
        <f>INDEX(Normtal!$Q$3:$AC$551,MATCH(B90,Normtal!$Q$3:$Q$551,0),4)</f>
        <v>15.972493670886072</v>
      </c>
      <c r="I95" s="85"/>
      <c r="J95" s="44"/>
      <c r="K95" s="251" t="s">
        <v>203</v>
      </c>
      <c r="L95" s="44" t="s">
        <v>1</v>
      </c>
      <c r="M95" s="44">
        <f>INDEX($E$4:$N$19,MATCH(F92,$E$4:$E$19, 0),6)</f>
        <v>0</v>
      </c>
      <c r="N95" s="65"/>
      <c r="Q95" s="299" t="s">
        <v>359</v>
      </c>
      <c r="R95" s="676" t="s">
        <v>135</v>
      </c>
      <c r="S95" s="194"/>
      <c r="T95" s="194"/>
      <c r="U95" s="194"/>
      <c r="V95" s="241"/>
      <c r="W95" s="44" t="s">
        <v>2</v>
      </c>
      <c r="X95" s="44"/>
      <c r="Y95" s="65">
        <f>INDEX($E$22:$N$24,MATCH(R94,$E$22:$E$24, 0),7)</f>
        <v>0</v>
      </c>
      <c r="Z95" s="139"/>
      <c r="AA95" s="303"/>
      <c r="AC95" s="484"/>
      <c r="AD95" s="229" t="s">
        <v>221</v>
      </c>
      <c r="AE95" s="569"/>
      <c r="AG95" s="66" t="s">
        <v>101</v>
      </c>
      <c r="AH95" s="305">
        <f>INDEX(Normtal!$Q$3:$AC$551,MATCH(AD90,Normtal!$Q$3:$Q$551,0),3)</f>
        <v>16.769060773480664</v>
      </c>
      <c r="AI95" s="281"/>
      <c r="AJ95" s="285">
        <f>INDEX(Normtal!$Q$3:$AC$551,MATCH(AD90,Normtal!$Q$3:$Q$551,0),4)</f>
        <v>11.906033149171272</v>
      </c>
      <c r="AK95" s="85"/>
      <c r="AL95" s="44"/>
      <c r="AM95" s="251" t="s">
        <v>203</v>
      </c>
      <c r="AN95" s="44" t="s">
        <v>1</v>
      </c>
      <c r="AO95" s="44">
        <f>INDEX($E$4:$N$19,MATCH(AH92,$E$4:$E$19, 0),6)</f>
        <v>0</v>
      </c>
      <c r="AP95" s="65"/>
      <c r="AS95" s="299" t="s">
        <v>359</v>
      </c>
      <c r="AT95" s="676" t="s">
        <v>135</v>
      </c>
      <c r="AU95" s="194"/>
      <c r="AV95" s="194"/>
      <c r="AW95" s="194"/>
      <c r="AX95" s="241"/>
      <c r="AY95" s="44" t="s">
        <v>2</v>
      </c>
      <c r="AZ95" s="44"/>
      <c r="BA95" s="65">
        <f>INDEX($E$22:$N$24,MATCH(AT94,$E$22:$E$24, 0),7)</f>
        <v>0</v>
      </c>
      <c r="BB95" s="139"/>
      <c r="BC95" s="484"/>
    </row>
    <row r="96" spans="1:55" x14ac:dyDescent="0.25">
      <c r="A96" s="303"/>
      <c r="B96" s="231" t="s">
        <v>224</v>
      </c>
      <c r="C96" s="574">
        <f>'CH4_Gylle_Stald&amp;Lager'!X78</f>
        <v>0</v>
      </c>
      <c r="E96" s="66" t="s">
        <v>103</v>
      </c>
      <c r="F96" s="305">
        <f>F95*(C92/365)*(C93/24)</f>
        <v>0</v>
      </c>
      <c r="G96" s="281"/>
      <c r="H96" s="285">
        <f>H95*(C92/365)*(C93/24)</f>
        <v>0</v>
      </c>
      <c r="I96" s="44" t="s">
        <v>357</v>
      </c>
      <c r="J96" s="44"/>
      <c r="K96" s="251" t="s">
        <v>203</v>
      </c>
      <c r="L96" s="175" t="s">
        <v>237</v>
      </c>
      <c r="M96" s="44"/>
      <c r="N96" s="65"/>
      <c r="Q96" s="118"/>
      <c r="R96" s="119"/>
      <c r="S96" s="119"/>
      <c r="T96" s="119"/>
      <c r="U96" s="119"/>
      <c r="V96" s="124"/>
      <c r="W96" s="56" t="s">
        <v>177</v>
      </c>
      <c r="X96" s="310">
        <f>$J$26</f>
        <v>0.5</v>
      </c>
      <c r="Z96" s="139"/>
      <c r="AA96" s="303"/>
      <c r="AC96" s="484"/>
      <c r="AD96" s="231" t="s">
        <v>224</v>
      </c>
      <c r="AE96" s="574">
        <f>'CH4_Gylle_Stald&amp;Lager'!AJ78</f>
        <v>0</v>
      </c>
      <c r="AG96" s="66" t="s">
        <v>103</v>
      </c>
      <c r="AH96" s="305">
        <f>AH95*(AE92/365)*(AE93/24)</f>
        <v>0</v>
      </c>
      <c r="AI96" s="281"/>
      <c r="AJ96" s="285">
        <f>AJ95*(AE92/365)*(AE93/24)</f>
        <v>0</v>
      </c>
      <c r="AK96" s="44" t="s">
        <v>357</v>
      </c>
      <c r="AL96" s="44"/>
      <c r="AM96" s="251" t="s">
        <v>203</v>
      </c>
      <c r="AN96" s="175" t="s">
        <v>237</v>
      </c>
      <c r="AO96" s="44"/>
      <c r="AP96" s="65"/>
      <c r="AS96" s="118"/>
      <c r="AT96" s="119"/>
      <c r="AU96" s="119"/>
      <c r="AV96" s="119"/>
      <c r="AW96" s="119"/>
      <c r="AX96" s="124"/>
      <c r="AY96" s="56" t="s">
        <v>177</v>
      </c>
      <c r="AZ96" s="310">
        <f>$J$26</f>
        <v>0.5</v>
      </c>
      <c r="BB96" s="139"/>
      <c r="BC96" s="484"/>
    </row>
    <row r="97" spans="1:55" x14ac:dyDescent="0.25">
      <c r="A97" s="303"/>
      <c r="B97" s="233" t="s">
        <v>223</v>
      </c>
      <c r="C97" s="570">
        <f>(365-C92*C93/24)*C96</f>
        <v>0</v>
      </c>
      <c r="D97" s="254"/>
      <c r="E97" s="66" t="s">
        <v>104</v>
      </c>
      <c r="F97" s="306">
        <f>F95-F96</f>
        <v>22.564316455696201</v>
      </c>
      <c r="G97" s="289"/>
      <c r="H97" s="287">
        <f>H95-H96</f>
        <v>15.972493670886072</v>
      </c>
      <c r="I97" s="44" t="s">
        <v>358</v>
      </c>
      <c r="J97" s="44"/>
      <c r="K97" s="251" t="s">
        <v>203</v>
      </c>
      <c r="L97" s="99" t="s">
        <v>170</v>
      </c>
      <c r="M97" s="85">
        <f>INDEX($E$4:$N$19,MATCH(F93,$E$4:$E$19, 0),3)</f>
        <v>0</v>
      </c>
      <c r="N97" s="186">
        <f>INDEX($E$4:$N$19,MATCH(F93,$E$4:$E$19, 0),4)</f>
        <v>1</v>
      </c>
      <c r="Q97" s="96" t="s">
        <v>139</v>
      </c>
      <c r="R97" s="85"/>
      <c r="S97" s="85"/>
      <c r="T97" s="85"/>
      <c r="U97" s="85"/>
      <c r="V97" s="186" t="s">
        <v>210</v>
      </c>
      <c r="W97" s="175" t="s">
        <v>364</v>
      </c>
      <c r="X97" s="44"/>
      <c r="Y97" s="65"/>
      <c r="Z97" s="139"/>
      <c r="AA97" s="303"/>
      <c r="AC97" s="484"/>
      <c r="AD97" s="233" t="s">
        <v>223</v>
      </c>
      <c r="AE97" s="570">
        <f>(365-AE92*AE93/24)*AE96</f>
        <v>0</v>
      </c>
      <c r="AF97" s="254"/>
      <c r="AG97" s="66" t="s">
        <v>104</v>
      </c>
      <c r="AH97" s="306">
        <f>AH95-AH96</f>
        <v>16.769060773480664</v>
      </c>
      <c r="AI97" s="289"/>
      <c r="AJ97" s="287">
        <f>AJ95-AJ96</f>
        <v>11.906033149171272</v>
      </c>
      <c r="AK97" s="44" t="s">
        <v>358</v>
      </c>
      <c r="AL97" s="44"/>
      <c r="AM97" s="251" t="s">
        <v>203</v>
      </c>
      <c r="AN97" s="99" t="s">
        <v>170</v>
      </c>
      <c r="AO97" s="85">
        <f>INDEX($E$4:$N$19,MATCH(AH93,$E$4:$E$19, 0),3)</f>
        <v>0</v>
      </c>
      <c r="AP97" s="186">
        <f>INDEX($E$4:$N$19,MATCH(AH93,$E$4:$E$19, 0),4)</f>
        <v>1</v>
      </c>
      <c r="AS97" s="96" t="s">
        <v>139</v>
      </c>
      <c r="AT97" s="85"/>
      <c r="AU97" s="85"/>
      <c r="AV97" s="85"/>
      <c r="AW97" s="85"/>
      <c r="AX97" s="186" t="s">
        <v>210</v>
      </c>
      <c r="AY97" s="175" t="s">
        <v>364</v>
      </c>
      <c r="AZ97" s="44"/>
      <c r="BA97" s="65"/>
      <c r="BB97" s="139"/>
      <c r="BC97" s="484"/>
    </row>
    <row r="98" spans="1:55" x14ac:dyDescent="0.25">
      <c r="A98" s="303"/>
      <c r="B98" s="231" t="s">
        <v>222</v>
      </c>
      <c r="C98" s="573"/>
      <c r="E98" s="66"/>
      <c r="F98" s="677"/>
      <c r="G98" s="221"/>
      <c r="H98" s="291"/>
      <c r="I98" s="44"/>
      <c r="J98" s="44"/>
      <c r="K98" s="65"/>
      <c r="L98" s="85" t="s">
        <v>2</v>
      </c>
      <c r="M98" s="85"/>
      <c r="N98" s="186">
        <f>INDEX($E$4:$N$19,MATCH(F93,$E$4:$E$19, 0),7)</f>
        <v>6</v>
      </c>
      <c r="Q98" s="66"/>
      <c r="R98" s="44"/>
      <c r="S98" s="44"/>
      <c r="T98" s="85"/>
      <c r="U98" s="85"/>
      <c r="V98" s="186" t="s">
        <v>210</v>
      </c>
      <c r="W98" s="99" t="s">
        <v>170</v>
      </c>
      <c r="X98" s="85">
        <f>INDEX($E$22:$N$24,MATCH(R95,$E$22:$E$24, 0),3)</f>
        <v>0</v>
      </c>
      <c r="Y98" s="186">
        <f>INDEX($E$22:$N$24,MATCH(R95,$E$22:$E$24, 0),4)</f>
        <v>1</v>
      </c>
      <c r="Z98" s="139"/>
      <c r="AA98" s="303"/>
      <c r="AC98" s="484"/>
      <c r="AD98" s="231" t="s">
        <v>222</v>
      </c>
      <c r="AE98" s="573"/>
      <c r="AG98" s="66"/>
      <c r="AH98" s="677"/>
      <c r="AI98" s="221"/>
      <c r="AJ98" s="291"/>
      <c r="AK98" s="44"/>
      <c r="AL98" s="44"/>
      <c r="AM98" s="65"/>
      <c r="AN98" s="85" t="s">
        <v>2</v>
      </c>
      <c r="AO98" s="85"/>
      <c r="AP98" s="186">
        <f>INDEX($E$4:$N$19,MATCH(AH93,$E$4:$E$19, 0),7)</f>
        <v>6</v>
      </c>
      <c r="AS98" s="66"/>
      <c r="AT98" s="44"/>
      <c r="AU98" s="44"/>
      <c r="AV98" s="85"/>
      <c r="AW98" s="85"/>
      <c r="AX98" s="186" t="s">
        <v>210</v>
      </c>
      <c r="AY98" s="99" t="s">
        <v>170</v>
      </c>
      <c r="AZ98" s="85">
        <f>INDEX($E$22:$N$24,MATCH(AT95,$E$22:$E$24, 0),3)</f>
        <v>0</v>
      </c>
      <c r="BA98" s="186">
        <f>INDEX($E$22:$N$24,MATCH(AT95,$E$22:$E$24, 0),4)</f>
        <v>1</v>
      </c>
      <c r="BB98" s="139"/>
      <c r="BC98" s="484"/>
    </row>
    <row r="99" spans="1:55" x14ac:dyDescent="0.25">
      <c r="A99" s="303"/>
      <c r="B99" s="231" t="s">
        <v>224</v>
      </c>
      <c r="C99" s="571">
        <f>1-C96</f>
        <v>1</v>
      </c>
      <c r="E99" s="66" t="s">
        <v>232</v>
      </c>
      <c r="F99" s="305">
        <f>F97*C96*1</f>
        <v>0</v>
      </c>
      <c r="G99" s="281"/>
      <c r="H99" s="286"/>
      <c r="I99" s="246" t="str">
        <f>INDEX($E$4:$N$19,MATCH(F93,$E$4:$E$19, 0),2)</f>
        <v>100 % dybstrøelsessystem</v>
      </c>
      <c r="J99" s="246"/>
      <c r="K99" s="251" t="s">
        <v>203</v>
      </c>
      <c r="L99" s="99" t="s">
        <v>1</v>
      </c>
      <c r="M99" s="85">
        <f>INDEX($E$4:$N$19,MATCH(F93,$E$4:$E$19, 0),6)</f>
        <v>0</v>
      </c>
      <c r="N99" s="65"/>
      <c r="Q99" s="211" t="s">
        <v>371</v>
      </c>
      <c r="R99" s="85" t="s">
        <v>10</v>
      </c>
      <c r="S99" s="176">
        <f>_xlfn.AGGREGATE(9,6, F99:G99)</f>
        <v>0</v>
      </c>
      <c r="T99" s="85"/>
      <c r="U99" s="44"/>
      <c r="V99" s="65"/>
      <c r="W99" s="99" t="s">
        <v>1</v>
      </c>
      <c r="X99" s="85">
        <f>INDEX($E$22:$N$24,MATCH(R95,$E$22:$E$24, 0),6)</f>
        <v>0</v>
      </c>
      <c r="Y99" s="186"/>
      <c r="Z99" s="139"/>
      <c r="AA99" s="303"/>
      <c r="AC99" s="484"/>
      <c r="AD99" s="231" t="s">
        <v>224</v>
      </c>
      <c r="AE99" s="571">
        <f>1-AE96</f>
        <v>1</v>
      </c>
      <c r="AG99" s="66" t="s">
        <v>232</v>
      </c>
      <c r="AH99" s="305">
        <f>AH97*AE96*1</f>
        <v>0</v>
      </c>
      <c r="AI99" s="281"/>
      <c r="AJ99" s="286"/>
      <c r="AK99" s="246" t="str">
        <f>INDEX($E$4:$N$19,MATCH(AH93,$E$4:$E$19, 0),2)</f>
        <v>100 % dybstrøelsessystem</v>
      </c>
      <c r="AL99" s="246"/>
      <c r="AM99" s="251" t="s">
        <v>203</v>
      </c>
      <c r="AN99" s="99" t="s">
        <v>1</v>
      </c>
      <c r="AO99" s="85">
        <f>INDEX($E$4:$N$19,MATCH(AH93,$E$4:$E$19, 0),6)</f>
        <v>0</v>
      </c>
      <c r="AP99" s="65"/>
      <c r="AS99" s="211" t="s">
        <v>371</v>
      </c>
      <c r="AT99" s="85" t="s">
        <v>10</v>
      </c>
      <c r="AU99" s="176">
        <f>_xlfn.AGGREGATE(9,6, AH99:AI99)</f>
        <v>0</v>
      </c>
      <c r="AV99" s="85"/>
      <c r="AW99" s="44"/>
      <c r="AX99" s="65"/>
      <c r="AY99" s="99" t="s">
        <v>1</v>
      </c>
      <c r="AZ99" s="85">
        <f>INDEX($E$22:$N$24,MATCH(AT95,$E$22:$E$24, 0),6)</f>
        <v>0</v>
      </c>
      <c r="BA99" s="186"/>
      <c r="BB99" s="139"/>
      <c r="BC99" s="484"/>
    </row>
    <row r="100" spans="1:55" x14ac:dyDescent="0.25">
      <c r="A100" s="302"/>
      <c r="B100" s="233" t="s">
        <v>81</v>
      </c>
      <c r="C100" s="570">
        <f>(365-C92*C93/24)*C99</f>
        <v>365</v>
      </c>
      <c r="E100" s="66" t="s">
        <v>102</v>
      </c>
      <c r="F100" s="305" t="e">
        <f>INDEX(Normtal!$Q$3:$AC$551,MATCH(F98,Normtal!$AA$3:$AA$551, 0),6)*C97/365</f>
        <v>#N/A</v>
      </c>
      <c r="G100" s="283"/>
      <c r="H100" s="286"/>
      <c r="I100" s="44"/>
      <c r="J100" s="44"/>
      <c r="K100" s="65"/>
      <c r="L100" s="175" t="s">
        <v>363</v>
      </c>
      <c r="M100" s="44"/>
      <c r="N100" s="65"/>
      <c r="Q100" s="211" t="s">
        <v>243</v>
      </c>
      <c r="R100" s="85" t="s">
        <v>10</v>
      </c>
      <c r="S100" s="176">
        <f>_xlfn.AGGREGATE(9,6, F100:G100)</f>
        <v>0</v>
      </c>
      <c r="T100" s="85"/>
      <c r="U100" s="85"/>
      <c r="V100" s="186" t="s">
        <v>210</v>
      </c>
      <c r="W100" s="85" t="s">
        <v>2</v>
      </c>
      <c r="X100" s="85"/>
      <c r="Y100" s="186">
        <f>INDEX($E$22:$N$24,MATCH(R95,$E$22:$E$24, 0),7)</f>
        <v>3</v>
      </c>
      <c r="Z100" s="139"/>
      <c r="AA100" s="302"/>
      <c r="AC100" s="483"/>
      <c r="AD100" s="233" t="s">
        <v>81</v>
      </c>
      <c r="AE100" s="570">
        <f>(365-AE92*AE93/24)*AE99</f>
        <v>365</v>
      </c>
      <c r="AG100" s="66" t="s">
        <v>102</v>
      </c>
      <c r="AH100" s="305" t="e">
        <f>INDEX(Normtal!$Q$3:$AC$551,MATCH(AH98,Normtal!$AA$3:$AA$551, 0),6)*AE97/365</f>
        <v>#N/A</v>
      </c>
      <c r="AI100" s="283"/>
      <c r="AJ100" s="286"/>
      <c r="AK100" s="44"/>
      <c r="AL100" s="44"/>
      <c r="AM100" s="65"/>
      <c r="AN100" s="175" t="s">
        <v>363</v>
      </c>
      <c r="AO100" s="44"/>
      <c r="AP100" s="65"/>
      <c r="AS100" s="211" t="s">
        <v>243</v>
      </c>
      <c r="AT100" s="85" t="s">
        <v>10</v>
      </c>
      <c r="AU100" s="176">
        <f>_xlfn.AGGREGATE(9,6, AH100:AI100)</f>
        <v>0</v>
      </c>
      <c r="AV100" s="85"/>
      <c r="AW100" s="85"/>
      <c r="AX100" s="186" t="s">
        <v>210</v>
      </c>
      <c r="AY100" s="85" t="s">
        <v>2</v>
      </c>
      <c r="AZ100" s="85"/>
      <c r="BA100" s="186">
        <f>INDEX($E$22:$N$24,MATCH(AT95,$E$22:$E$24, 0),7)</f>
        <v>3</v>
      </c>
      <c r="BB100" s="139"/>
      <c r="BC100" s="483"/>
    </row>
    <row r="101" spans="1:55" x14ac:dyDescent="0.25">
      <c r="A101" s="302"/>
      <c r="C101" s="195"/>
      <c r="E101" s="66" t="s">
        <v>235</v>
      </c>
      <c r="F101" s="307" t="e">
        <f>INDEX(Normtal!$Q$3:$AC$551,MATCH(F98,Normtal!$AA$3:$AA$551, 0),4)*C97/365</f>
        <v>#N/A</v>
      </c>
      <c r="G101" s="247"/>
      <c r="H101" s="285">
        <f>H97*C96</f>
        <v>0</v>
      </c>
      <c r="I101" s="44"/>
      <c r="J101" s="44"/>
      <c r="K101" s="251"/>
      <c r="L101" s="44" t="s">
        <v>362</v>
      </c>
      <c r="M101" s="44">
        <f>$J$26</f>
        <v>0.5</v>
      </c>
      <c r="N101" s="65"/>
      <c r="Q101" s="211" t="s">
        <v>365</v>
      </c>
      <c r="R101" s="85" t="s">
        <v>10</v>
      </c>
      <c r="S101" s="176">
        <f>-_xlfn.AGGREGATE(9,6,G117:G118)</f>
        <v>0</v>
      </c>
      <c r="T101" s="85"/>
      <c r="U101" s="85"/>
      <c r="V101" s="186" t="s">
        <v>210</v>
      </c>
      <c r="W101" s="86" t="s">
        <v>363</v>
      </c>
      <c r="X101" s="85"/>
      <c r="Y101" s="186"/>
      <c r="Z101" s="139"/>
      <c r="AA101" s="302"/>
      <c r="AC101" s="483"/>
      <c r="AE101" s="195"/>
      <c r="AG101" s="66" t="s">
        <v>235</v>
      </c>
      <c r="AH101" s="307" t="e">
        <f>INDEX(Normtal!$Q$3:$AC$551,MATCH(AH98,Normtal!$AA$3:$AA$551, 0),4)*AE97/365</f>
        <v>#N/A</v>
      </c>
      <c r="AI101" s="247"/>
      <c r="AJ101" s="285">
        <f>AJ97*AE96</f>
        <v>0</v>
      </c>
      <c r="AK101" s="44"/>
      <c r="AL101" s="44"/>
      <c r="AM101" s="251"/>
      <c r="AN101" s="44" t="s">
        <v>362</v>
      </c>
      <c r="AO101" s="44">
        <f>$J$26</f>
        <v>0.5</v>
      </c>
      <c r="AP101" s="65"/>
      <c r="AS101" s="211" t="s">
        <v>365</v>
      </c>
      <c r="AT101" s="85" t="s">
        <v>10</v>
      </c>
      <c r="AU101" s="176">
        <f>-_xlfn.AGGREGATE(9,6,AI117:AI118)</f>
        <v>0</v>
      </c>
      <c r="AV101" s="85"/>
      <c r="AW101" s="85"/>
      <c r="AX101" s="186" t="s">
        <v>210</v>
      </c>
      <c r="AY101" s="86" t="s">
        <v>363</v>
      </c>
      <c r="AZ101" s="85"/>
      <c r="BA101" s="186"/>
      <c r="BB101" s="139"/>
      <c r="BC101" s="483"/>
    </row>
    <row r="102" spans="1:55" ht="30" x14ac:dyDescent="0.25">
      <c r="A102" s="302"/>
      <c r="B102" s="257" t="s">
        <v>245</v>
      </c>
      <c r="C102" s="572">
        <f>'CH4_Gylle_Stald&amp;Lager'!X84</f>
        <v>0</v>
      </c>
      <c r="E102" s="66"/>
      <c r="F102" s="290"/>
      <c r="G102" s="290"/>
      <c r="H102" s="292"/>
      <c r="I102" s="44"/>
      <c r="J102" s="44"/>
      <c r="K102" s="251" t="s">
        <v>203</v>
      </c>
      <c r="L102" s="44" t="s">
        <v>171</v>
      </c>
      <c r="M102" s="44">
        <f>$J$27</f>
        <v>-0.5</v>
      </c>
      <c r="N102" s="65"/>
      <c r="Q102" s="211" t="s">
        <v>367</v>
      </c>
      <c r="R102" s="85" t="s">
        <v>10</v>
      </c>
      <c r="S102" s="176">
        <f>-_xlfn.AGGREGATE(9,6,G119,G120)</f>
        <v>0</v>
      </c>
      <c r="T102" s="85"/>
      <c r="U102" s="85"/>
      <c r="V102" s="186"/>
      <c r="W102" s="99" t="s">
        <v>171</v>
      </c>
      <c r="X102" s="85">
        <f>$J$27</f>
        <v>-0.5</v>
      </c>
      <c r="Y102" s="186"/>
      <c r="Z102" s="139"/>
      <c r="AA102" s="302"/>
      <c r="AC102" s="483"/>
      <c r="AD102" s="257" t="s">
        <v>245</v>
      </c>
      <c r="AE102" s="572">
        <f>'CH4_Gylle_Stald&amp;Lager'!AJ84</f>
        <v>0</v>
      </c>
      <c r="AG102" s="66"/>
      <c r="AH102" s="290"/>
      <c r="AI102" s="290"/>
      <c r="AJ102" s="292"/>
      <c r="AK102" s="44"/>
      <c r="AL102" s="44"/>
      <c r="AM102" s="251" t="s">
        <v>203</v>
      </c>
      <c r="AN102" s="44" t="s">
        <v>171</v>
      </c>
      <c r="AO102" s="44">
        <f>$J$27</f>
        <v>-0.5</v>
      </c>
      <c r="AP102" s="65"/>
      <c r="AS102" s="211" t="s">
        <v>367</v>
      </c>
      <c r="AT102" s="85" t="s">
        <v>10</v>
      </c>
      <c r="AU102" s="176">
        <f>-_xlfn.AGGREGATE(9,6,AI119,AI120)</f>
        <v>0</v>
      </c>
      <c r="AV102" s="85"/>
      <c r="AW102" s="85"/>
      <c r="AX102" s="186"/>
      <c r="AY102" s="99" t="s">
        <v>171</v>
      </c>
      <c r="AZ102" s="85">
        <f>$J$27</f>
        <v>-0.5</v>
      </c>
      <c r="BA102" s="186"/>
      <c r="BB102" s="139"/>
      <c r="BC102" s="483"/>
    </row>
    <row r="103" spans="1:55" x14ac:dyDescent="0.25">
      <c r="A103" s="302"/>
      <c r="E103" s="66"/>
      <c r="F103" s="677" t="s">
        <v>377</v>
      </c>
      <c r="G103" s="677" t="s">
        <v>300</v>
      </c>
      <c r="H103" s="284"/>
      <c r="I103" s="44" t="s">
        <v>203</v>
      </c>
      <c r="J103" s="44"/>
      <c r="K103" s="65"/>
      <c r="L103" s="293" t="s">
        <v>238</v>
      </c>
      <c r="M103" s="44"/>
      <c r="N103" s="65"/>
      <c r="Q103" s="455"/>
      <c r="R103" s="84"/>
      <c r="S103" s="94"/>
      <c r="T103" s="85"/>
      <c r="U103" s="85"/>
      <c r="V103" s="186" t="s">
        <v>210</v>
      </c>
      <c r="W103" s="85" t="s">
        <v>177</v>
      </c>
      <c r="X103" s="85">
        <f>$J$26</f>
        <v>0.5</v>
      </c>
      <c r="Y103" s="186"/>
      <c r="Z103" s="139"/>
      <c r="AA103" s="302"/>
      <c r="AC103" s="483"/>
      <c r="AG103" s="66"/>
      <c r="AH103" s="677" t="s">
        <v>630</v>
      </c>
      <c r="AI103" s="677" t="s">
        <v>597</v>
      </c>
      <c r="AJ103" s="284"/>
      <c r="AK103" s="44" t="s">
        <v>203</v>
      </c>
      <c r="AL103" s="44"/>
      <c r="AM103" s="65"/>
      <c r="AN103" s="293" t="s">
        <v>238</v>
      </c>
      <c r="AO103" s="44"/>
      <c r="AP103" s="65"/>
      <c r="AS103" s="455"/>
      <c r="AT103" s="84"/>
      <c r="AU103" s="94"/>
      <c r="AV103" s="85"/>
      <c r="AW103" s="85"/>
      <c r="AX103" s="186" t="s">
        <v>210</v>
      </c>
      <c r="AY103" s="85" t="s">
        <v>177</v>
      </c>
      <c r="AZ103" s="85">
        <f>$J$26</f>
        <v>0.5</v>
      </c>
      <c r="BA103" s="186"/>
      <c r="BB103" s="139"/>
      <c r="BC103" s="483"/>
    </row>
    <row r="104" spans="1:55" x14ac:dyDescent="0.25">
      <c r="A104" s="302"/>
      <c r="B104" s="77" t="s">
        <v>226</v>
      </c>
      <c r="C104" s="236">
        <f>C92*C93/24+C97+C100</f>
        <v>365</v>
      </c>
      <c r="E104" s="66" t="s">
        <v>233</v>
      </c>
      <c r="F104" s="305">
        <f>F97*C99*0</f>
        <v>0</v>
      </c>
      <c r="G104" s="308">
        <f>F97*C99*1</f>
        <v>22.564316455696201</v>
      </c>
      <c r="H104" s="286"/>
      <c r="I104" s="246" t="str">
        <f>INDEX($E$4:$N$19,MATCH(F93,$E$4:$E$19, 0),2)</f>
        <v>100 % dybstrøelsessystem</v>
      </c>
      <c r="J104" s="246"/>
      <c r="K104" s="65"/>
      <c r="L104" s="85" t="s">
        <v>172</v>
      </c>
      <c r="M104" s="85">
        <f>INDEX($E$4:$N$19,MATCH(F91,$E$4:$E$19, 0),3)</f>
        <v>0</v>
      </c>
      <c r="N104" s="186"/>
      <c r="Q104" s="211" t="s">
        <v>372</v>
      </c>
      <c r="R104" s="44"/>
      <c r="S104" s="113">
        <f>_xlfn.AGGREGATE(9,6,F104:G104)</f>
        <v>22.564316455696201</v>
      </c>
      <c r="T104" s="44"/>
      <c r="U104" s="44"/>
      <c r="V104" s="65"/>
      <c r="W104" s="44"/>
      <c r="X104" s="44"/>
      <c r="Y104" s="65"/>
      <c r="Z104" s="139"/>
      <c r="AA104" s="302"/>
      <c r="AC104" s="483"/>
      <c r="AD104" s="77" t="s">
        <v>226</v>
      </c>
      <c r="AE104" s="236">
        <f>AE92*AE93/24+AE97+AE100</f>
        <v>365</v>
      </c>
      <c r="AG104" s="66" t="s">
        <v>233</v>
      </c>
      <c r="AH104" s="305">
        <f>AH97*AE99*0</f>
        <v>0</v>
      </c>
      <c r="AI104" s="308">
        <f>AH97*AE99*1</f>
        <v>16.769060773480664</v>
      </c>
      <c r="AJ104" s="286"/>
      <c r="AK104" s="246" t="str">
        <f>INDEX($E$4:$N$19,MATCH(AH93,$E$4:$E$19, 0),2)</f>
        <v>100 % dybstrøelsessystem</v>
      </c>
      <c r="AL104" s="246"/>
      <c r="AM104" s="65"/>
      <c r="AN104" s="85" t="s">
        <v>172</v>
      </c>
      <c r="AO104" s="85">
        <f>INDEX($E$4:$N$19,MATCH(AH91,$E$4:$E$19, 0),3)</f>
        <v>0</v>
      </c>
      <c r="AP104" s="186"/>
      <c r="AS104" s="211" t="s">
        <v>372</v>
      </c>
      <c r="AT104" s="44"/>
      <c r="AU104" s="113">
        <f>_xlfn.AGGREGATE(9,6,AH104:AI104)</f>
        <v>16.769060773480664</v>
      </c>
      <c r="AV104" s="44"/>
      <c r="AW104" s="44"/>
      <c r="AX104" s="65"/>
      <c r="AY104" s="44"/>
      <c r="AZ104" s="44"/>
      <c r="BA104" s="65"/>
      <c r="BB104" s="139"/>
      <c r="BC104" s="483"/>
    </row>
    <row r="105" spans="1:55" x14ac:dyDescent="0.25">
      <c r="A105" s="302"/>
      <c r="B105" s="720"/>
      <c r="C105" s="245"/>
      <c r="E105" s="117" t="s">
        <v>102</v>
      </c>
      <c r="F105" s="305" t="e">
        <f>INDEX(Normtal!$Q$3:$AC$551,MATCH(F103,Normtal!$AA$3:$AA$551, 0),6)*C100/365</f>
        <v>#N/A</v>
      </c>
      <c r="G105" s="309" t="e">
        <f>INDEX(Normtal!$Q$3:$AC$551,MATCH(G103,Normtal!$AA$3:$AA$551, 0),6)*C100/365</f>
        <v>#N/A</v>
      </c>
      <c r="H105" s="286"/>
      <c r="I105" s="44"/>
      <c r="J105" s="44"/>
      <c r="K105" s="251" t="s">
        <v>203</v>
      </c>
      <c r="L105" s="85"/>
      <c r="M105" s="85"/>
      <c r="N105" s="186"/>
      <c r="Q105" s="211" t="s">
        <v>244</v>
      </c>
      <c r="R105" s="85" t="s">
        <v>10</v>
      </c>
      <c r="S105" s="113">
        <f>_xlfn.AGGREGATE(9,6,F105:G105)</f>
        <v>0</v>
      </c>
      <c r="T105" s="44"/>
      <c r="U105" s="44"/>
      <c r="V105" s="65"/>
      <c r="W105" s="85" t="s">
        <v>159</v>
      </c>
      <c r="X105" s="85">
        <f>$U$20</f>
        <v>0.01</v>
      </c>
      <c r="Y105" s="186"/>
      <c r="Z105" s="139"/>
      <c r="AA105" s="302"/>
      <c r="AC105" s="483"/>
      <c r="AD105" s="720"/>
      <c r="AE105" s="245"/>
      <c r="AG105" s="117" t="s">
        <v>102</v>
      </c>
      <c r="AH105" s="305" t="e">
        <f>INDEX(Normtal!$Q$3:$AC$551,MATCH(AH103,Normtal!$AA$3:$AA$551, 0),6)*AE100/365</f>
        <v>#N/A</v>
      </c>
      <c r="AI105" s="309">
        <f>INDEX(Normtal!$Q$3:$AC$551,MATCH(AI103,Normtal!$AA$3:$AA$551, 0),6)*AE100/365</f>
        <v>1.8615000000000004</v>
      </c>
      <c r="AJ105" s="286"/>
      <c r="AK105" s="44"/>
      <c r="AL105" s="44"/>
      <c r="AM105" s="251" t="s">
        <v>203</v>
      </c>
      <c r="AN105" s="85"/>
      <c r="AO105" s="85"/>
      <c r="AP105" s="186"/>
      <c r="AS105" s="211" t="s">
        <v>244</v>
      </c>
      <c r="AT105" s="85" t="s">
        <v>10</v>
      </c>
      <c r="AU105" s="113">
        <f>_xlfn.AGGREGATE(9,6,AH105:AI105)</f>
        <v>1.8615000000000004</v>
      </c>
      <c r="AV105" s="44"/>
      <c r="AW105" s="44"/>
      <c r="AX105" s="65"/>
      <c r="AY105" s="85" t="s">
        <v>159</v>
      </c>
      <c r="AZ105" s="85">
        <f>$U$20</f>
        <v>0.01</v>
      </c>
      <c r="BA105" s="186"/>
      <c r="BB105" s="139"/>
      <c r="BC105" s="483"/>
    </row>
    <row r="106" spans="1:55" x14ac:dyDescent="0.25">
      <c r="A106" s="302"/>
      <c r="B106" s="720"/>
      <c r="C106" s="245"/>
      <c r="E106" s="66" t="s">
        <v>234</v>
      </c>
      <c r="F106" s="307" t="e">
        <f>INDEX(Normtal!$Q$3:$AC$551,MATCH(F103,Normtal!$AA$3:$AA$551, 0),4)*C100/365</f>
        <v>#N/A</v>
      </c>
      <c r="G106" s="283"/>
      <c r="H106" s="285">
        <f>H97*C99*0.4</f>
        <v>6.3889974683544288</v>
      </c>
      <c r="I106" s="44"/>
      <c r="J106" s="44"/>
      <c r="K106" s="65"/>
      <c r="L106" s="85" t="s">
        <v>195</v>
      </c>
      <c r="M106" s="85"/>
      <c r="N106" s="201">
        <f>INDEX($E$4:$N$19,MATCH(F91,$E$4:$E$19, 0),7)</f>
        <v>0</v>
      </c>
      <c r="Q106" s="211" t="s">
        <v>368</v>
      </c>
      <c r="R106" s="85" t="s">
        <v>10</v>
      </c>
      <c r="S106" s="300">
        <f>-_xlfn.AGGREGATE(9,6,G122:G123)</f>
        <v>0</v>
      </c>
      <c r="T106" s="44"/>
      <c r="U106" s="44"/>
      <c r="V106" s="65"/>
      <c r="W106" s="44"/>
      <c r="X106" s="44"/>
      <c r="Y106" s="186"/>
      <c r="Z106" s="139"/>
      <c r="AA106" s="302"/>
      <c r="AC106" s="483"/>
      <c r="AD106" s="720"/>
      <c r="AE106" s="245"/>
      <c r="AG106" s="66" t="s">
        <v>234</v>
      </c>
      <c r="AH106" s="307" t="e">
        <f>INDEX(Normtal!$Q$3:$AC$551,MATCH(AH103,Normtal!$AA$3:$AA$551, 0),4)*AE100/365</f>
        <v>#N/A</v>
      </c>
      <c r="AI106" s="283"/>
      <c r="AJ106" s="285">
        <f>AJ97*AE99*0.4</f>
        <v>4.7624132596685085</v>
      </c>
      <c r="AK106" s="44"/>
      <c r="AL106" s="44"/>
      <c r="AM106" s="65"/>
      <c r="AN106" s="85" t="s">
        <v>195</v>
      </c>
      <c r="AO106" s="85"/>
      <c r="AP106" s="201">
        <f>INDEX($E$4:$N$19,MATCH(AH91,$E$4:$E$19, 0),7)</f>
        <v>0</v>
      </c>
      <c r="AS106" s="211" t="s">
        <v>368</v>
      </c>
      <c r="AT106" s="85" t="s">
        <v>10</v>
      </c>
      <c r="AU106" s="300">
        <f>-_xlfn.AGGREGATE(9,6,AI122:AI123)</f>
        <v>-0.18630560773480664</v>
      </c>
      <c r="AV106" s="44"/>
      <c r="AW106" s="44"/>
      <c r="AX106" s="65"/>
      <c r="AY106" s="44"/>
      <c r="AZ106" s="44"/>
      <c r="BA106" s="186"/>
      <c r="BB106" s="139"/>
      <c r="BC106" s="483"/>
    </row>
    <row r="107" spans="1:55" x14ac:dyDescent="0.25">
      <c r="A107" s="302"/>
      <c r="E107" s="66"/>
      <c r="F107" s="290"/>
      <c r="G107" s="290"/>
      <c r="H107" s="292"/>
      <c r="I107" s="44"/>
      <c r="J107" s="44"/>
      <c r="K107" s="251" t="s">
        <v>203</v>
      </c>
      <c r="L107" s="85"/>
      <c r="M107" s="85"/>
      <c r="N107" s="186"/>
      <c r="Q107" s="211" t="s">
        <v>366</v>
      </c>
      <c r="R107" s="85" t="s">
        <v>10</v>
      </c>
      <c r="S107" s="300">
        <f>-_xlfn.AGGREGATE(9,6,G124:G125)</f>
        <v>-1.3538589873417721</v>
      </c>
      <c r="T107" s="44"/>
      <c r="U107" s="44"/>
      <c r="V107" s="65"/>
      <c r="Y107" s="65"/>
      <c r="Z107" s="139"/>
      <c r="AA107" s="302"/>
      <c r="AC107" s="483"/>
      <c r="AG107" s="66"/>
      <c r="AH107" s="290"/>
      <c r="AI107" s="290"/>
      <c r="AJ107" s="292"/>
      <c r="AK107" s="44"/>
      <c r="AL107" s="44"/>
      <c r="AM107" s="251" t="s">
        <v>203</v>
      </c>
      <c r="AN107" s="85"/>
      <c r="AO107" s="85"/>
      <c r="AP107" s="186"/>
      <c r="AS107" s="211" t="s">
        <v>366</v>
      </c>
      <c r="AT107" s="85" t="s">
        <v>10</v>
      </c>
      <c r="AU107" s="300">
        <f>-_xlfn.AGGREGATE(9,6,AI124:AI125)</f>
        <v>-1.00614364640884</v>
      </c>
      <c r="AV107" s="44"/>
      <c r="AW107" s="44"/>
      <c r="AX107" s="65"/>
      <c r="BA107" s="65"/>
      <c r="BB107" s="139"/>
      <c r="BC107" s="483"/>
    </row>
    <row r="108" spans="1:55" x14ac:dyDescent="0.25">
      <c r="A108" s="302"/>
      <c r="E108" s="96" t="s">
        <v>134</v>
      </c>
      <c r="F108" s="176">
        <f>_xlfn.AGGREGATE(9,6,F101,F106)</f>
        <v>0</v>
      </c>
      <c r="G108" s="288"/>
      <c r="H108" s="266">
        <f>_xlfn.AGGREGATE(9,6,H101,H106)</f>
        <v>6.3889974683544288</v>
      </c>
      <c r="I108" s="44"/>
      <c r="J108" s="44"/>
      <c r="K108" s="65"/>
      <c r="L108" s="85"/>
      <c r="M108" s="85"/>
      <c r="N108" s="186"/>
      <c r="Q108" s="66"/>
      <c r="R108" s="44"/>
      <c r="S108" s="44"/>
      <c r="T108" s="301"/>
      <c r="U108" s="44"/>
      <c r="V108" s="65"/>
      <c r="W108" s="24"/>
      <c r="X108" s="24"/>
      <c r="Y108" s="120"/>
      <c r="Z108" s="48"/>
      <c r="AA108" s="302"/>
      <c r="AC108" s="483"/>
      <c r="AG108" s="96" t="s">
        <v>134</v>
      </c>
      <c r="AH108" s="176">
        <f>_xlfn.AGGREGATE(9,6,AH101,AH106)</f>
        <v>0</v>
      </c>
      <c r="AI108" s="288"/>
      <c r="AJ108" s="266">
        <f>_xlfn.AGGREGATE(9,6,AJ101,AJ106)</f>
        <v>4.7624132596685085</v>
      </c>
      <c r="AK108" s="44"/>
      <c r="AL108" s="44"/>
      <c r="AM108" s="65"/>
      <c r="AN108" s="85"/>
      <c r="AO108" s="85"/>
      <c r="AP108" s="186"/>
      <c r="AS108" s="66"/>
      <c r="AT108" s="44"/>
      <c r="AU108" s="44"/>
      <c r="AV108" s="301"/>
      <c r="AW108" s="44"/>
      <c r="AX108" s="65"/>
      <c r="AY108" s="24"/>
      <c r="AZ108" s="24"/>
      <c r="BA108" s="120"/>
      <c r="BB108" s="48"/>
      <c r="BC108" s="483"/>
    </row>
    <row r="109" spans="1:55" x14ac:dyDescent="0.25">
      <c r="A109" s="302"/>
      <c r="E109" s="66"/>
      <c r="F109" s="44"/>
      <c r="G109" s="44"/>
      <c r="H109" s="44"/>
      <c r="I109" s="44"/>
      <c r="J109" s="44"/>
      <c r="K109" s="65"/>
      <c r="L109" s="85"/>
      <c r="M109" s="85"/>
      <c r="N109" s="186"/>
      <c r="Q109" s="96" t="s">
        <v>369</v>
      </c>
      <c r="R109" s="85" t="s">
        <v>10</v>
      </c>
      <c r="S109" s="198">
        <f>SUM(S99:S102)</f>
        <v>0</v>
      </c>
      <c r="W109" s="44"/>
      <c r="X109" s="44"/>
      <c r="Y109" s="44"/>
      <c r="Z109" s="48"/>
      <c r="AA109" s="302"/>
      <c r="AC109" s="483"/>
      <c r="AG109" s="66"/>
      <c r="AH109" s="44"/>
      <c r="AI109" s="44"/>
      <c r="AJ109" s="44"/>
      <c r="AK109" s="44"/>
      <c r="AL109" s="44"/>
      <c r="AM109" s="65"/>
      <c r="AN109" s="85"/>
      <c r="AO109" s="85"/>
      <c r="AP109" s="186"/>
      <c r="AS109" s="96" t="s">
        <v>369</v>
      </c>
      <c r="AT109" s="85" t="s">
        <v>10</v>
      </c>
      <c r="AU109" s="198">
        <f>SUM(AU99:AU102)</f>
        <v>0</v>
      </c>
      <c r="AY109" s="44"/>
      <c r="AZ109" s="44"/>
      <c r="BA109" s="44"/>
      <c r="BB109" s="48"/>
      <c r="BC109" s="483"/>
    </row>
    <row r="110" spans="1:55" x14ac:dyDescent="0.25">
      <c r="A110" s="302"/>
      <c r="E110" s="96" t="s">
        <v>84</v>
      </c>
      <c r="F110" s="85"/>
      <c r="G110" s="85"/>
      <c r="H110" s="44"/>
      <c r="I110" s="85"/>
      <c r="J110" s="44"/>
      <c r="K110" s="251" t="s">
        <v>203</v>
      </c>
      <c r="L110" s="85" t="str">
        <f>$T$20</f>
        <v>EF4</v>
      </c>
      <c r="M110" s="85">
        <f>$U$20</f>
        <v>0.01</v>
      </c>
      <c r="N110" s="186"/>
      <c r="Q110" s="310" t="s">
        <v>563</v>
      </c>
      <c r="R110" s="84" t="s">
        <v>10</v>
      </c>
      <c r="S110" s="457" t="e">
        <f>F101-G119</f>
        <v>#N/A</v>
      </c>
      <c r="U110" s="44"/>
      <c r="V110" s="65"/>
      <c r="W110" s="44"/>
      <c r="X110" s="44"/>
      <c r="Y110" s="44"/>
      <c r="Z110" s="48"/>
      <c r="AA110" s="302"/>
      <c r="AC110" s="483"/>
      <c r="AG110" s="96" t="s">
        <v>84</v>
      </c>
      <c r="AH110" s="85"/>
      <c r="AI110" s="85"/>
      <c r="AJ110" s="44"/>
      <c r="AK110" s="85"/>
      <c r="AL110" s="44"/>
      <c r="AM110" s="251" t="s">
        <v>203</v>
      </c>
      <c r="AN110" s="85" t="str">
        <f>$T$20</f>
        <v>EF4</v>
      </c>
      <c r="AO110" s="85">
        <f>$U$20</f>
        <v>0.01</v>
      </c>
      <c r="AP110" s="186"/>
      <c r="AS110" s="310" t="s">
        <v>563</v>
      </c>
      <c r="AT110" s="84" t="s">
        <v>10</v>
      </c>
      <c r="AU110" s="457" t="e">
        <f>AH101-AI119</f>
        <v>#N/A</v>
      </c>
      <c r="AW110" s="44"/>
      <c r="AX110" s="65"/>
      <c r="AY110" s="44"/>
      <c r="AZ110" s="44"/>
      <c r="BA110" s="44"/>
      <c r="BB110" s="48"/>
      <c r="BC110" s="483"/>
    </row>
    <row r="111" spans="1:55" x14ac:dyDescent="0.25">
      <c r="A111" s="302"/>
      <c r="E111" s="96" t="s">
        <v>105</v>
      </c>
      <c r="F111" s="85" t="s">
        <v>10</v>
      </c>
      <c r="G111" s="176">
        <f>(F96)*M104/100</f>
        <v>0</v>
      </c>
      <c r="H111" s="44"/>
      <c r="I111" s="85" t="s">
        <v>85</v>
      </c>
      <c r="J111" s="114" t="s">
        <v>86</v>
      </c>
      <c r="K111" s="252" t="s">
        <v>203</v>
      </c>
      <c r="L111" s="85" t="str">
        <f>$T$21</f>
        <v>[leaching/ runoff]</v>
      </c>
      <c r="M111" s="85">
        <f>$U$21</f>
        <v>0</v>
      </c>
      <c r="N111" s="186"/>
      <c r="Q111" s="96" t="s">
        <v>370</v>
      </c>
      <c r="R111" s="85" t="s">
        <v>10</v>
      </c>
      <c r="S111" s="198">
        <f>SUM(S104:S107)</f>
        <v>21.210457468354427</v>
      </c>
      <c r="W111" s="44"/>
      <c r="X111" s="44"/>
      <c r="Y111" s="44"/>
      <c r="Z111" s="48"/>
      <c r="AA111" s="302"/>
      <c r="AC111" s="483"/>
      <c r="AG111" s="96" t="s">
        <v>105</v>
      </c>
      <c r="AH111" s="85" t="s">
        <v>10</v>
      </c>
      <c r="AI111" s="176">
        <f>(AH96)*AO104/100</f>
        <v>0</v>
      </c>
      <c r="AJ111" s="44"/>
      <c r="AK111" s="85" t="s">
        <v>85</v>
      </c>
      <c r="AL111" s="114" t="s">
        <v>86</v>
      </c>
      <c r="AM111" s="252" t="s">
        <v>203</v>
      </c>
      <c r="AN111" s="85" t="str">
        <f>$T$21</f>
        <v>[leaching/ runoff]</v>
      </c>
      <c r="AO111" s="85">
        <f>$U$21</f>
        <v>0</v>
      </c>
      <c r="AP111" s="186"/>
      <c r="AS111" s="96" t="s">
        <v>370</v>
      </c>
      <c r="AT111" s="85" t="s">
        <v>10</v>
      </c>
      <c r="AU111" s="198">
        <f>SUM(AU104:AU107)</f>
        <v>17.438111519337017</v>
      </c>
      <c r="AY111" s="44"/>
      <c r="AZ111" s="44"/>
      <c r="BA111" s="44"/>
      <c r="BB111" s="48"/>
      <c r="BC111" s="483"/>
    </row>
    <row r="112" spans="1:55" x14ac:dyDescent="0.25">
      <c r="A112" s="302"/>
      <c r="E112" s="96" t="s">
        <v>106</v>
      </c>
      <c r="F112" s="85" t="s">
        <v>10</v>
      </c>
      <c r="G112" s="198">
        <f>(F96)*N106/100</f>
        <v>0</v>
      </c>
      <c r="H112" s="44"/>
      <c r="I112" s="85" t="s">
        <v>87</v>
      </c>
      <c r="J112" s="114" t="s">
        <v>88</v>
      </c>
      <c r="K112" s="252" t="s">
        <v>203</v>
      </c>
      <c r="L112" s="85" t="str">
        <f>$T$22</f>
        <v>EF5</v>
      </c>
      <c r="M112" s="85">
        <f>$U$22</f>
        <v>1.0999999999999999E-2</v>
      </c>
      <c r="N112" s="186"/>
      <c r="T112" s="44"/>
      <c r="U112" s="44"/>
      <c r="V112" s="65"/>
      <c r="W112" s="85"/>
      <c r="X112" s="85"/>
      <c r="Y112" s="85"/>
      <c r="Z112" s="48"/>
      <c r="AA112" s="302"/>
      <c r="AC112" s="483"/>
      <c r="AG112" s="96" t="s">
        <v>106</v>
      </c>
      <c r="AH112" s="85" t="s">
        <v>10</v>
      </c>
      <c r="AI112" s="198">
        <f>(AH96)*AP106/100</f>
        <v>0</v>
      </c>
      <c r="AJ112" s="44"/>
      <c r="AK112" s="85" t="s">
        <v>87</v>
      </c>
      <c r="AL112" s="114" t="s">
        <v>88</v>
      </c>
      <c r="AM112" s="252" t="s">
        <v>203</v>
      </c>
      <c r="AN112" s="85" t="str">
        <f>$T$22</f>
        <v>EF5</v>
      </c>
      <c r="AO112" s="85">
        <f>$U$22</f>
        <v>1.0999999999999999E-2</v>
      </c>
      <c r="AP112" s="186"/>
      <c r="AV112" s="44"/>
      <c r="AW112" s="44"/>
      <c r="AX112" s="65"/>
      <c r="AY112" s="85"/>
      <c r="AZ112" s="85"/>
      <c r="BA112" s="85"/>
      <c r="BB112" s="48"/>
      <c r="BC112" s="483"/>
    </row>
    <row r="113" spans="1:55" x14ac:dyDescent="0.25">
      <c r="A113" s="302"/>
      <c r="E113" s="96" t="s">
        <v>200</v>
      </c>
      <c r="F113" s="85" t="s">
        <v>10</v>
      </c>
      <c r="G113" s="198">
        <f>F96*M113/100</f>
        <v>0</v>
      </c>
      <c r="H113" s="44"/>
      <c r="I113" s="85" t="s">
        <v>201</v>
      </c>
      <c r="J113" s="44"/>
      <c r="K113" s="251" t="s">
        <v>203</v>
      </c>
      <c r="L113" s="85" t="str">
        <f>$T$23</f>
        <v>FracLEACH</v>
      </c>
      <c r="M113" s="85">
        <f>$U$23</f>
        <v>0.24</v>
      </c>
      <c r="N113" s="186"/>
      <c r="Q113" s="96" t="s">
        <v>136</v>
      </c>
      <c r="R113" s="85"/>
      <c r="S113" s="85"/>
      <c r="T113" s="85"/>
      <c r="U113" s="85"/>
      <c r="V113" s="186" t="s">
        <v>210</v>
      </c>
      <c r="W113" s="44"/>
      <c r="X113" s="44"/>
      <c r="Y113" s="44"/>
      <c r="Z113" s="48"/>
      <c r="AA113" s="302"/>
      <c r="AC113" s="483"/>
      <c r="AG113" s="96" t="s">
        <v>200</v>
      </c>
      <c r="AH113" s="85" t="s">
        <v>10</v>
      </c>
      <c r="AI113" s="198">
        <f>AH96*AO113/100</f>
        <v>0</v>
      </c>
      <c r="AJ113" s="44"/>
      <c r="AK113" s="85" t="s">
        <v>201</v>
      </c>
      <c r="AL113" s="44"/>
      <c r="AM113" s="251" t="s">
        <v>203</v>
      </c>
      <c r="AN113" s="85" t="str">
        <f>$T$23</f>
        <v>FracLEACH</v>
      </c>
      <c r="AO113" s="85">
        <f>$U$23</f>
        <v>0.24</v>
      </c>
      <c r="AP113" s="186"/>
      <c r="AS113" s="96" t="s">
        <v>136</v>
      </c>
      <c r="AT113" s="85"/>
      <c r="AU113" s="85"/>
      <c r="AV113" s="85"/>
      <c r="AW113" s="85"/>
      <c r="AX113" s="186" t="s">
        <v>210</v>
      </c>
      <c r="AY113" s="44"/>
      <c r="AZ113" s="44"/>
      <c r="BA113" s="44"/>
      <c r="BB113" s="48"/>
      <c r="BC113" s="483"/>
    </row>
    <row r="114" spans="1:55" x14ac:dyDescent="0.25">
      <c r="A114" s="302"/>
      <c r="E114" s="66"/>
      <c r="F114" s="85"/>
      <c r="G114" s="176"/>
      <c r="H114" s="44"/>
      <c r="I114" s="85"/>
      <c r="J114" s="44"/>
      <c r="K114" s="251" t="s">
        <v>203</v>
      </c>
      <c r="L114" s="24"/>
      <c r="M114" s="24"/>
      <c r="N114" s="196"/>
      <c r="Q114" s="96" t="s">
        <v>375</v>
      </c>
      <c r="R114" s="85" t="s">
        <v>10</v>
      </c>
      <c r="S114" s="176">
        <f>(S109*X93/100)</f>
        <v>0</v>
      </c>
      <c r="T114" s="212" t="s">
        <v>561</v>
      </c>
      <c r="U114" s="212" t="s">
        <v>379</v>
      </c>
      <c r="V114" s="186" t="s">
        <v>210</v>
      </c>
      <c r="W114" s="44"/>
      <c r="X114" s="44"/>
      <c r="Y114" s="44"/>
      <c r="Z114" s="44"/>
      <c r="AA114" s="302"/>
      <c r="AC114" s="483"/>
      <c r="AG114" s="66"/>
      <c r="AH114" s="85"/>
      <c r="AI114" s="176"/>
      <c r="AJ114" s="44"/>
      <c r="AK114" s="85"/>
      <c r="AL114" s="44"/>
      <c r="AM114" s="251" t="s">
        <v>203</v>
      </c>
      <c r="AN114" s="24"/>
      <c r="AO114" s="24"/>
      <c r="AP114" s="196"/>
      <c r="AS114" s="96" t="s">
        <v>375</v>
      </c>
      <c r="AT114" s="85" t="s">
        <v>10</v>
      </c>
      <c r="AU114" s="176">
        <f>(AU109*AZ93/100)</f>
        <v>0</v>
      </c>
      <c r="AV114" s="212" t="s">
        <v>561</v>
      </c>
      <c r="AW114" s="212" t="s">
        <v>379</v>
      </c>
      <c r="AX114" s="186" t="s">
        <v>210</v>
      </c>
      <c r="AY114" s="44"/>
      <c r="AZ114" s="44"/>
      <c r="BA114" s="44"/>
      <c r="BB114" s="44"/>
      <c r="BC114" s="483"/>
    </row>
    <row r="115" spans="1:55" x14ac:dyDescent="0.25">
      <c r="A115" s="302"/>
      <c r="E115" s="96" t="s">
        <v>89</v>
      </c>
      <c r="F115" s="85"/>
      <c r="G115" s="176"/>
      <c r="H115" s="44"/>
      <c r="I115" s="85"/>
      <c r="J115" s="44"/>
      <c r="K115" s="251"/>
      <c r="L115" s="85"/>
      <c r="M115" s="85"/>
      <c r="N115" s="85"/>
      <c r="O115" s="44"/>
      <c r="Q115" s="96" t="s">
        <v>373</v>
      </c>
      <c r="R115" s="85" t="s">
        <v>10</v>
      </c>
      <c r="S115" s="176">
        <f>(S111*Y98/100)*0.35</f>
        <v>7.4236601139240493E-2</v>
      </c>
      <c r="T115" s="212" t="s">
        <v>141</v>
      </c>
      <c r="U115" s="212" t="s">
        <v>143</v>
      </c>
      <c r="V115" s="184" t="s">
        <v>210</v>
      </c>
      <c r="W115" s="85"/>
      <c r="X115" s="85"/>
      <c r="Y115" s="85"/>
      <c r="Z115" s="44"/>
      <c r="AA115" s="302"/>
      <c r="AC115" s="483"/>
      <c r="AG115" s="96" t="s">
        <v>89</v>
      </c>
      <c r="AH115" s="85"/>
      <c r="AI115" s="176"/>
      <c r="AJ115" s="44"/>
      <c r="AK115" s="85"/>
      <c r="AL115" s="44"/>
      <c r="AM115" s="251"/>
      <c r="AN115" s="85"/>
      <c r="AO115" s="85"/>
      <c r="AP115" s="85"/>
      <c r="AQ115" s="44"/>
      <c r="AS115" s="96" t="s">
        <v>373</v>
      </c>
      <c r="AT115" s="85" t="s">
        <v>10</v>
      </c>
      <c r="AU115" s="176">
        <f>(AU111*BA98/100)*0.35</f>
        <v>6.1033390317679563E-2</v>
      </c>
      <c r="AV115" s="212" t="s">
        <v>141</v>
      </c>
      <c r="AW115" s="212" t="s">
        <v>143</v>
      </c>
      <c r="AX115" s="184" t="s">
        <v>210</v>
      </c>
      <c r="AY115" s="85"/>
      <c r="AZ115" s="85"/>
      <c r="BA115" s="85"/>
      <c r="BB115" s="44"/>
      <c r="BC115" s="483"/>
    </row>
    <row r="116" spans="1:55" x14ac:dyDescent="0.25">
      <c r="A116" s="302"/>
      <c r="E116" s="97" t="s">
        <v>236</v>
      </c>
      <c r="F116" s="85"/>
      <c r="G116" s="176"/>
      <c r="H116" s="44"/>
      <c r="I116" s="85"/>
      <c r="J116" s="116"/>
      <c r="K116" s="252"/>
      <c r="L116" s="85"/>
      <c r="M116" s="85"/>
      <c r="N116" s="85"/>
      <c r="O116" s="44"/>
      <c r="Q116" s="97" t="s">
        <v>376</v>
      </c>
      <c r="R116" s="84" t="s">
        <v>10</v>
      </c>
      <c r="S116" s="456" t="e">
        <f>S110*X94/100</f>
        <v>#N/A</v>
      </c>
      <c r="T116" s="458" t="s">
        <v>562</v>
      </c>
      <c r="U116" s="212" t="s">
        <v>380</v>
      </c>
      <c r="V116" s="184" t="s">
        <v>210</v>
      </c>
      <c r="W116" s="85"/>
      <c r="X116" s="85"/>
      <c r="Y116" s="85"/>
      <c r="Z116" s="44"/>
      <c r="AA116" s="302"/>
      <c r="AC116" s="483"/>
      <c r="AG116" s="97" t="s">
        <v>236</v>
      </c>
      <c r="AH116" s="85"/>
      <c r="AI116" s="176"/>
      <c r="AJ116" s="44"/>
      <c r="AK116" s="85"/>
      <c r="AL116" s="116"/>
      <c r="AM116" s="252"/>
      <c r="AN116" s="85"/>
      <c r="AO116" s="85"/>
      <c r="AP116" s="85"/>
      <c r="AQ116" s="44"/>
      <c r="AS116" s="97" t="s">
        <v>376</v>
      </c>
      <c r="AT116" s="84" t="s">
        <v>10</v>
      </c>
      <c r="AU116" s="456" t="e">
        <f>AU110*AZ94/100</f>
        <v>#N/A</v>
      </c>
      <c r="AV116" s="458" t="s">
        <v>562</v>
      </c>
      <c r="AW116" s="212" t="s">
        <v>380</v>
      </c>
      <c r="AX116" s="184" t="s">
        <v>210</v>
      </c>
      <c r="AY116" s="85"/>
      <c r="AZ116" s="85"/>
      <c r="BA116" s="85"/>
      <c r="BB116" s="44"/>
      <c r="BC116" s="483"/>
    </row>
    <row r="117" spans="1:55" x14ac:dyDescent="0.25">
      <c r="A117" s="302"/>
      <c r="E117" s="97" t="s">
        <v>107</v>
      </c>
      <c r="F117" s="85" t="s">
        <v>10</v>
      </c>
      <c r="G117" s="282" t="e">
        <f>(F99+F100)*M93/100</f>
        <v>#N/A</v>
      </c>
      <c r="H117" s="44"/>
      <c r="I117" s="85"/>
      <c r="J117" s="116"/>
      <c r="K117" s="252"/>
      <c r="L117" s="85"/>
      <c r="M117" s="85"/>
      <c r="N117" s="85"/>
      <c r="O117" s="44"/>
      <c r="Q117" s="97" t="s">
        <v>544</v>
      </c>
      <c r="R117" s="84" t="s">
        <v>10</v>
      </c>
      <c r="S117" s="432" t="e">
        <f>S110*X94/100*(1+X96*C102)</f>
        <v>#N/A</v>
      </c>
      <c r="T117" s="458" t="s">
        <v>565</v>
      </c>
      <c r="U117" s="212" t="s">
        <v>380</v>
      </c>
      <c r="V117" s="184" t="s">
        <v>210</v>
      </c>
      <c r="W117" s="44"/>
      <c r="X117" s="44"/>
      <c r="Y117" s="44"/>
      <c r="Z117" s="44"/>
      <c r="AA117" s="302"/>
      <c r="AC117" s="483"/>
      <c r="AG117" s="97" t="s">
        <v>107</v>
      </c>
      <c r="AH117" s="85" t="s">
        <v>10</v>
      </c>
      <c r="AI117" s="282" t="e">
        <f>(AH99+AH100)*AO93/100</f>
        <v>#N/A</v>
      </c>
      <c r="AJ117" s="44"/>
      <c r="AK117" s="85"/>
      <c r="AL117" s="116"/>
      <c r="AM117" s="252"/>
      <c r="AN117" s="85"/>
      <c r="AO117" s="85"/>
      <c r="AP117" s="85"/>
      <c r="AQ117" s="44"/>
      <c r="AS117" s="97" t="s">
        <v>544</v>
      </c>
      <c r="AT117" s="84" t="s">
        <v>10</v>
      </c>
      <c r="AU117" s="432" t="e">
        <f>AU110*AZ94/100*(1+AZ96*AE102)</f>
        <v>#N/A</v>
      </c>
      <c r="AV117" s="458" t="s">
        <v>565</v>
      </c>
      <c r="AW117" s="212" t="s">
        <v>380</v>
      </c>
      <c r="AX117" s="184" t="s">
        <v>210</v>
      </c>
      <c r="AY117" s="44"/>
      <c r="AZ117" s="44"/>
      <c r="BA117" s="44"/>
      <c r="BB117" s="44"/>
      <c r="BC117" s="483"/>
    </row>
    <row r="118" spans="1:55" x14ac:dyDescent="0.25">
      <c r="A118" s="302"/>
      <c r="E118" s="97" t="s">
        <v>108</v>
      </c>
      <c r="F118" s="85" t="s">
        <v>10</v>
      </c>
      <c r="G118" s="282">
        <f>(G99+G100)*N93/100</f>
        <v>0</v>
      </c>
      <c r="H118" s="44"/>
      <c r="I118" s="85"/>
      <c r="J118" s="116"/>
      <c r="K118" s="252"/>
      <c r="L118" s="85"/>
      <c r="M118" s="85"/>
      <c r="N118" s="85"/>
      <c r="O118" s="44"/>
      <c r="Q118" s="96" t="s">
        <v>374</v>
      </c>
      <c r="R118" s="85" t="s">
        <v>10</v>
      </c>
      <c r="S118" s="198">
        <f>(S111*Y100/100)*0.35</f>
        <v>0.22270980341772145</v>
      </c>
      <c r="T118" s="212" t="s">
        <v>142</v>
      </c>
      <c r="U118" s="212" t="s">
        <v>144</v>
      </c>
      <c r="V118" s="184" t="s">
        <v>210</v>
      </c>
      <c r="W118" s="44"/>
      <c r="X118" s="44"/>
      <c r="Y118" s="44"/>
      <c r="Z118" s="44"/>
      <c r="AA118" s="302"/>
      <c r="AC118" s="483"/>
      <c r="AG118" s="97" t="s">
        <v>108</v>
      </c>
      <c r="AH118" s="85" t="s">
        <v>10</v>
      </c>
      <c r="AI118" s="282">
        <f>(AI99+AI100)*AP93/100</f>
        <v>0</v>
      </c>
      <c r="AJ118" s="44"/>
      <c r="AK118" s="85"/>
      <c r="AL118" s="116"/>
      <c r="AM118" s="252"/>
      <c r="AN118" s="85"/>
      <c r="AO118" s="85"/>
      <c r="AP118" s="85"/>
      <c r="AQ118" s="44"/>
      <c r="AS118" s="96" t="s">
        <v>374</v>
      </c>
      <c r="AT118" s="85" t="s">
        <v>10</v>
      </c>
      <c r="AU118" s="198">
        <f>(AU111*BA100/100)*0.35</f>
        <v>0.18310017095303868</v>
      </c>
      <c r="AV118" s="212" t="s">
        <v>142</v>
      </c>
      <c r="AW118" s="212" t="s">
        <v>144</v>
      </c>
      <c r="AX118" s="184" t="s">
        <v>210</v>
      </c>
      <c r="AY118" s="44"/>
      <c r="AZ118" s="44"/>
      <c r="BA118" s="44"/>
      <c r="BB118" s="44"/>
      <c r="BC118" s="483"/>
    </row>
    <row r="119" spans="1:55" x14ac:dyDescent="0.25">
      <c r="A119" s="302"/>
      <c r="E119" s="97" t="s">
        <v>109</v>
      </c>
      <c r="F119" s="85" t="s">
        <v>10</v>
      </c>
      <c r="G119" s="197" t="e">
        <f>F101*M95/100</f>
        <v>#N/A</v>
      </c>
      <c r="H119" s="44"/>
      <c r="I119" s="85"/>
      <c r="J119" s="116"/>
      <c r="K119" s="252"/>
      <c r="L119" s="85"/>
      <c r="M119" s="85"/>
      <c r="N119" s="85"/>
      <c r="O119" s="44"/>
      <c r="Q119" s="97" t="s">
        <v>383</v>
      </c>
      <c r="R119" s="85"/>
      <c r="S119" s="85"/>
      <c r="T119" s="85"/>
      <c r="U119" s="85"/>
      <c r="V119" s="186" t="s">
        <v>210</v>
      </c>
      <c r="W119" s="44"/>
      <c r="X119" s="44"/>
      <c r="Y119" s="44"/>
      <c r="Z119" s="44"/>
      <c r="AA119" s="302"/>
      <c r="AC119" s="483"/>
      <c r="AG119" s="97" t="s">
        <v>109</v>
      </c>
      <c r="AH119" s="85" t="s">
        <v>10</v>
      </c>
      <c r="AI119" s="197" t="e">
        <f>AH101*AO95/100</f>
        <v>#N/A</v>
      </c>
      <c r="AJ119" s="44"/>
      <c r="AK119" s="85"/>
      <c r="AL119" s="116"/>
      <c r="AM119" s="252"/>
      <c r="AN119" s="85"/>
      <c r="AO119" s="85"/>
      <c r="AP119" s="85"/>
      <c r="AQ119" s="44"/>
      <c r="AS119" s="97" t="s">
        <v>383</v>
      </c>
      <c r="AT119" s="85"/>
      <c r="AU119" s="85"/>
      <c r="AV119" s="85"/>
      <c r="AW119" s="85"/>
      <c r="AX119" s="186" t="s">
        <v>210</v>
      </c>
      <c r="AY119" s="44"/>
      <c r="AZ119" s="44"/>
      <c r="BA119" s="44"/>
      <c r="BB119" s="44"/>
      <c r="BC119" s="483"/>
    </row>
    <row r="120" spans="1:55" x14ac:dyDescent="0.25">
      <c r="A120" s="302"/>
      <c r="E120" s="97" t="s">
        <v>110</v>
      </c>
      <c r="F120" s="85" t="s">
        <v>10</v>
      </c>
      <c r="G120" s="197">
        <f>(G99)*N94/100</f>
        <v>0</v>
      </c>
      <c r="H120" s="44"/>
      <c r="I120" s="85"/>
      <c r="J120" s="116"/>
      <c r="K120" s="252"/>
      <c r="L120" s="85"/>
      <c r="M120" s="85"/>
      <c r="N120" s="85"/>
      <c r="O120" s="44"/>
      <c r="Q120" s="96" t="s">
        <v>12</v>
      </c>
      <c r="R120" s="84" t="s">
        <v>13</v>
      </c>
      <c r="S120" s="182">
        <f>SUM(S114:S115)*(44/28)*$U$13</f>
        <v>31.847501888734172</v>
      </c>
      <c r="T120" s="85"/>
      <c r="U120" s="85"/>
      <c r="V120" s="186" t="s">
        <v>210</v>
      </c>
      <c r="AA120" s="302"/>
      <c r="AC120" s="483"/>
      <c r="AG120" s="97" t="s">
        <v>110</v>
      </c>
      <c r="AH120" s="85" t="s">
        <v>10</v>
      </c>
      <c r="AI120" s="197">
        <f>(AI99)*AP94/100</f>
        <v>0</v>
      </c>
      <c r="AJ120" s="44"/>
      <c r="AK120" s="85"/>
      <c r="AL120" s="116"/>
      <c r="AM120" s="252"/>
      <c r="AN120" s="85"/>
      <c r="AO120" s="85"/>
      <c r="AP120" s="85"/>
      <c r="AQ120" s="44"/>
      <c r="AS120" s="96" t="s">
        <v>12</v>
      </c>
      <c r="AT120" s="84" t="s">
        <v>13</v>
      </c>
      <c r="AU120" s="182">
        <f>SUM(AU114:AU115)*(44/28)*$U$13</f>
        <v>26.183324446284534</v>
      </c>
      <c r="AV120" s="85"/>
      <c r="AW120" s="85"/>
      <c r="AX120" s="186" t="s">
        <v>210</v>
      </c>
      <c r="BC120" s="483"/>
    </row>
    <row r="121" spans="1:55" x14ac:dyDescent="0.25">
      <c r="A121" s="302"/>
      <c r="E121" s="96" t="s">
        <v>237</v>
      </c>
      <c r="F121" s="85"/>
      <c r="G121" s="176"/>
      <c r="H121" s="44"/>
      <c r="I121" s="85"/>
      <c r="J121" s="44"/>
      <c r="K121" s="251"/>
      <c r="L121" s="85"/>
      <c r="M121" s="85"/>
      <c r="N121" s="85"/>
      <c r="O121" s="44"/>
      <c r="Q121" s="96" t="s">
        <v>14</v>
      </c>
      <c r="R121" s="84" t="s">
        <v>13</v>
      </c>
      <c r="S121" s="176" t="e">
        <f>SUM(S116,S118)*(44/28)*X105*$U$13</f>
        <v>#N/A</v>
      </c>
      <c r="T121" s="85"/>
      <c r="U121" s="85"/>
      <c r="V121" s="186"/>
      <c r="AA121" s="302"/>
      <c r="AC121" s="483"/>
      <c r="AG121" s="96" t="s">
        <v>237</v>
      </c>
      <c r="AH121" s="85"/>
      <c r="AI121" s="176"/>
      <c r="AJ121" s="44"/>
      <c r="AK121" s="85"/>
      <c r="AL121" s="44"/>
      <c r="AM121" s="251"/>
      <c r="AN121" s="85"/>
      <c r="AO121" s="85"/>
      <c r="AP121" s="85"/>
      <c r="AQ121" s="44"/>
      <c r="AS121" s="96" t="s">
        <v>14</v>
      </c>
      <c r="AT121" s="84" t="s">
        <v>13</v>
      </c>
      <c r="AU121" s="176" t="e">
        <f>SUM(AU116,AU118)*(44/28)*AZ105*$U$13</f>
        <v>#N/A</v>
      </c>
      <c r="AV121" s="85"/>
      <c r="AW121" s="85"/>
      <c r="AX121" s="186"/>
      <c r="BC121" s="483"/>
    </row>
    <row r="122" spans="1:55" x14ac:dyDescent="0.25">
      <c r="A122" s="302"/>
      <c r="E122" s="97" t="s">
        <v>107</v>
      </c>
      <c r="F122" s="85" t="s">
        <v>10</v>
      </c>
      <c r="G122" s="197" t="e">
        <f>((F104)+(F105*C100/365))*M97/100</f>
        <v>#N/A</v>
      </c>
      <c r="H122" s="44"/>
      <c r="I122" s="85" t="s">
        <v>111</v>
      </c>
      <c r="J122" s="114" t="s">
        <v>11</v>
      </c>
      <c r="K122" s="252" t="s">
        <v>203</v>
      </c>
      <c r="L122" s="85"/>
      <c r="M122" s="85"/>
      <c r="N122" s="85"/>
      <c r="O122" s="44"/>
      <c r="Q122" s="96" t="s">
        <v>545</v>
      </c>
      <c r="R122" s="84" t="s">
        <v>13</v>
      </c>
      <c r="S122" s="258" t="e">
        <f>SUM(S117,S118)*(44/28)*X105*$U$13</f>
        <v>#N/A</v>
      </c>
      <c r="T122" s="85"/>
      <c r="U122" s="85"/>
      <c r="V122" s="186"/>
      <c r="AA122" s="302"/>
      <c r="AC122" s="483"/>
      <c r="AG122" s="97" t="s">
        <v>107</v>
      </c>
      <c r="AH122" s="85" t="s">
        <v>10</v>
      </c>
      <c r="AI122" s="197" t="e">
        <f>((AH104)+(AH105*AE100/365))*AO97/100</f>
        <v>#N/A</v>
      </c>
      <c r="AJ122" s="44"/>
      <c r="AK122" s="85" t="s">
        <v>111</v>
      </c>
      <c r="AL122" s="114" t="s">
        <v>11</v>
      </c>
      <c r="AM122" s="252" t="s">
        <v>203</v>
      </c>
      <c r="AN122" s="85"/>
      <c r="AO122" s="85"/>
      <c r="AP122" s="85"/>
      <c r="AQ122" s="44"/>
      <c r="AS122" s="96" t="s">
        <v>545</v>
      </c>
      <c r="AT122" s="84" t="s">
        <v>13</v>
      </c>
      <c r="AU122" s="258" t="e">
        <f>SUM(AU117,AU118)*(44/28)*AZ105*$U$13</f>
        <v>#N/A</v>
      </c>
      <c r="AV122" s="85"/>
      <c r="AW122" s="85"/>
      <c r="AX122" s="186"/>
      <c r="BC122" s="483"/>
    </row>
    <row r="123" spans="1:55" x14ac:dyDescent="0.25">
      <c r="A123" s="302"/>
      <c r="E123" s="97" t="s">
        <v>108</v>
      </c>
      <c r="F123" s="85" t="s">
        <v>10</v>
      </c>
      <c r="G123" s="197" t="e">
        <f>((G104)+(G105*C100/365))*N97/100</f>
        <v>#N/A</v>
      </c>
      <c r="H123" s="44"/>
      <c r="I123" s="85" t="s">
        <v>140</v>
      </c>
      <c r="J123" s="116"/>
      <c r="K123" s="251" t="s">
        <v>203</v>
      </c>
      <c r="L123" s="85"/>
      <c r="M123" s="85"/>
      <c r="N123" s="85"/>
      <c r="O123" s="44"/>
      <c r="Q123" s="122"/>
      <c r="R123" s="98"/>
      <c r="S123" s="199"/>
      <c r="T123" s="101"/>
      <c r="U123" s="101"/>
      <c r="V123" s="196" t="s">
        <v>210</v>
      </c>
      <c r="AA123" s="302"/>
      <c r="AC123" s="483"/>
      <c r="AG123" s="97" t="s">
        <v>108</v>
      </c>
      <c r="AH123" s="85" t="s">
        <v>10</v>
      </c>
      <c r="AI123" s="197">
        <f>((AI104)+(AI105*AE100/365))*AP97/100</f>
        <v>0.18630560773480664</v>
      </c>
      <c r="AJ123" s="44"/>
      <c r="AK123" s="85" t="s">
        <v>140</v>
      </c>
      <c r="AL123" s="116"/>
      <c r="AM123" s="251" t="s">
        <v>203</v>
      </c>
      <c r="AN123" s="85"/>
      <c r="AO123" s="85"/>
      <c r="AP123" s="85"/>
      <c r="AQ123" s="44"/>
      <c r="AS123" s="122"/>
      <c r="AT123" s="98"/>
      <c r="AU123" s="199"/>
      <c r="AV123" s="101"/>
      <c r="AW123" s="101"/>
      <c r="AX123" s="196" t="s">
        <v>210</v>
      </c>
      <c r="BC123" s="483"/>
    </row>
    <row r="124" spans="1:55" x14ac:dyDescent="0.25">
      <c r="A124" s="302"/>
      <c r="E124" s="97" t="s">
        <v>109</v>
      </c>
      <c r="F124" s="85" t="s">
        <v>10</v>
      </c>
      <c r="G124" s="197" t="e">
        <f>F106*M99/100</f>
        <v>#N/A</v>
      </c>
      <c r="H124" s="44"/>
      <c r="I124" s="85" t="s">
        <v>112</v>
      </c>
      <c r="J124" s="114" t="s">
        <v>90</v>
      </c>
      <c r="K124" s="252" t="s">
        <v>203</v>
      </c>
      <c r="L124" s="85"/>
      <c r="M124" s="85"/>
      <c r="N124" s="85"/>
      <c r="O124" s="44"/>
      <c r="AA124" s="302"/>
      <c r="AC124" s="483"/>
      <c r="AG124" s="97" t="s">
        <v>109</v>
      </c>
      <c r="AH124" s="85" t="s">
        <v>10</v>
      </c>
      <c r="AI124" s="197" t="e">
        <f>AH106*AO99/100</f>
        <v>#N/A</v>
      </c>
      <c r="AJ124" s="44"/>
      <c r="AK124" s="85" t="s">
        <v>112</v>
      </c>
      <c r="AL124" s="114" t="s">
        <v>90</v>
      </c>
      <c r="AM124" s="252" t="s">
        <v>203</v>
      </c>
      <c r="AN124" s="85"/>
      <c r="AO124" s="85"/>
      <c r="AP124" s="85"/>
      <c r="AQ124" s="44"/>
      <c r="BC124" s="483"/>
    </row>
    <row r="125" spans="1:55" x14ac:dyDescent="0.25">
      <c r="A125" s="302"/>
      <c r="E125" s="97" t="s">
        <v>110</v>
      </c>
      <c r="F125" s="85" t="s">
        <v>10</v>
      </c>
      <c r="G125" s="197">
        <f>(G104)*N98/100</f>
        <v>1.3538589873417721</v>
      </c>
      <c r="H125" s="44"/>
      <c r="I125" s="44"/>
      <c r="J125" s="116"/>
      <c r="K125" s="252" t="s">
        <v>203</v>
      </c>
      <c r="L125" s="85"/>
      <c r="M125" s="85"/>
      <c r="N125" s="85"/>
      <c r="O125" s="44"/>
      <c r="AA125" s="302"/>
      <c r="AC125" s="483"/>
      <c r="AG125" s="97" t="s">
        <v>110</v>
      </c>
      <c r="AH125" s="85" t="s">
        <v>10</v>
      </c>
      <c r="AI125" s="197">
        <f>(AI104)*AP98/100</f>
        <v>1.00614364640884</v>
      </c>
      <c r="AJ125" s="44"/>
      <c r="AK125" s="44"/>
      <c r="AL125" s="116"/>
      <c r="AM125" s="252" t="s">
        <v>203</v>
      </c>
      <c r="AN125" s="85"/>
      <c r="AO125" s="85"/>
      <c r="AP125" s="85"/>
      <c r="AQ125" s="44"/>
      <c r="BC125" s="483"/>
    </row>
    <row r="126" spans="1:55" x14ac:dyDescent="0.25">
      <c r="A126" s="302"/>
      <c r="E126" s="97"/>
      <c r="F126" s="85"/>
      <c r="G126" s="176"/>
      <c r="H126" s="44"/>
      <c r="I126" s="85"/>
      <c r="J126" s="116"/>
      <c r="K126" s="252"/>
      <c r="L126" s="44"/>
      <c r="M126" s="44"/>
      <c r="N126" s="44"/>
      <c r="O126" s="44"/>
      <c r="V126" s="56" t="s">
        <v>210</v>
      </c>
      <c r="AA126" s="302"/>
      <c r="AC126" s="483"/>
      <c r="AG126" s="97"/>
      <c r="AH126" s="85"/>
      <c r="AI126" s="176"/>
      <c r="AJ126" s="44"/>
      <c r="AK126" s="85"/>
      <c r="AL126" s="116"/>
      <c r="AM126" s="252"/>
      <c r="AN126" s="44"/>
      <c r="AO126" s="44"/>
      <c r="AP126" s="44"/>
      <c r="AQ126" s="44"/>
      <c r="AX126" s="56" t="s">
        <v>210</v>
      </c>
      <c r="BC126" s="483"/>
    </row>
    <row r="127" spans="1:55" x14ac:dyDescent="0.25">
      <c r="A127" s="302"/>
      <c r="E127" s="97" t="s">
        <v>239</v>
      </c>
      <c r="F127" s="85" t="s">
        <v>10</v>
      </c>
      <c r="G127" s="176">
        <f>_xlfn.AGGREGATE(9,6,G117,G118,G122,G123)</f>
        <v>0</v>
      </c>
      <c r="H127" s="44"/>
      <c r="I127" s="85" t="s">
        <v>113</v>
      </c>
      <c r="J127" s="100"/>
      <c r="K127" s="252" t="s">
        <v>203</v>
      </c>
      <c r="L127" s="44"/>
      <c r="M127" s="44"/>
      <c r="N127" s="44"/>
      <c r="O127" s="44"/>
      <c r="V127" s="56" t="s">
        <v>210</v>
      </c>
      <c r="AA127" s="302"/>
      <c r="AC127" s="483"/>
      <c r="AG127" s="97" t="s">
        <v>239</v>
      </c>
      <c r="AH127" s="85" t="s">
        <v>10</v>
      </c>
      <c r="AI127" s="176">
        <f>_xlfn.AGGREGATE(9,6,AI117,AI118,AI122,AI123)</f>
        <v>0.18630560773480664</v>
      </c>
      <c r="AJ127" s="44"/>
      <c r="AK127" s="85" t="s">
        <v>113</v>
      </c>
      <c r="AL127" s="100"/>
      <c r="AM127" s="252" t="s">
        <v>203</v>
      </c>
      <c r="AN127" s="44"/>
      <c r="AO127" s="44"/>
      <c r="AP127" s="44"/>
      <c r="AQ127" s="44"/>
      <c r="AX127" s="56" t="s">
        <v>210</v>
      </c>
      <c r="BC127" s="483"/>
    </row>
    <row r="128" spans="1:55" x14ac:dyDescent="0.25">
      <c r="A128" s="302"/>
      <c r="E128" s="97" t="s">
        <v>240</v>
      </c>
      <c r="F128" s="85" t="s">
        <v>10</v>
      </c>
      <c r="G128" s="176">
        <f>_xlfn.AGGREGATE(9,6,G119,G120,G124,G125)</f>
        <v>1.3538589873417721</v>
      </c>
      <c r="H128" s="44"/>
      <c r="I128" s="85" t="s">
        <v>114</v>
      </c>
      <c r="J128" s="100"/>
      <c r="K128" s="252" t="s">
        <v>203</v>
      </c>
      <c r="L128" s="85"/>
      <c r="M128" s="85"/>
      <c r="N128" s="85"/>
      <c r="O128" s="44"/>
      <c r="V128" s="56" t="s">
        <v>210</v>
      </c>
      <c r="AA128" s="302"/>
      <c r="AC128" s="483"/>
      <c r="AG128" s="97" t="s">
        <v>240</v>
      </c>
      <c r="AH128" s="85" t="s">
        <v>10</v>
      </c>
      <c r="AI128" s="176">
        <f>_xlfn.AGGREGATE(9,6,AI119,AI120,AI124,AI125)</f>
        <v>1.00614364640884</v>
      </c>
      <c r="AJ128" s="44"/>
      <c r="AK128" s="85" t="s">
        <v>114</v>
      </c>
      <c r="AL128" s="100"/>
      <c r="AM128" s="252" t="s">
        <v>203</v>
      </c>
      <c r="AN128" s="85"/>
      <c r="AO128" s="85"/>
      <c r="AP128" s="85"/>
      <c r="AQ128" s="44"/>
      <c r="AX128" s="56" t="s">
        <v>210</v>
      </c>
      <c r="BC128" s="483"/>
    </row>
    <row r="129" spans="1:55" x14ac:dyDescent="0.25">
      <c r="A129" s="302"/>
      <c r="E129" s="97"/>
      <c r="F129" s="85"/>
      <c r="G129" s="85"/>
      <c r="H129" s="44"/>
      <c r="I129" s="85"/>
      <c r="J129" s="100"/>
      <c r="K129" s="252" t="s">
        <v>203</v>
      </c>
      <c r="L129" s="44"/>
      <c r="M129" s="44"/>
      <c r="N129" s="85"/>
      <c r="O129" s="44"/>
      <c r="V129" s="56" t="s">
        <v>210</v>
      </c>
      <c r="AA129" s="302"/>
      <c r="AC129" s="483"/>
      <c r="AG129" s="97"/>
      <c r="AH129" s="85"/>
      <c r="AI129" s="85"/>
      <c r="AJ129" s="44"/>
      <c r="AK129" s="85"/>
      <c r="AL129" s="100"/>
      <c r="AM129" s="252" t="s">
        <v>203</v>
      </c>
      <c r="AN129" s="44"/>
      <c r="AO129" s="44"/>
      <c r="AP129" s="85"/>
      <c r="AQ129" s="44"/>
      <c r="AX129" s="56" t="s">
        <v>210</v>
      </c>
      <c r="BC129" s="483"/>
    </row>
    <row r="130" spans="1:55" x14ac:dyDescent="0.25">
      <c r="A130" s="302"/>
      <c r="E130" s="97" t="s">
        <v>91</v>
      </c>
      <c r="F130" s="85"/>
      <c r="G130" s="85"/>
      <c r="H130" s="44"/>
      <c r="I130" s="85"/>
      <c r="J130" s="85"/>
      <c r="K130" s="251" t="s">
        <v>203</v>
      </c>
      <c r="L130" s="99"/>
      <c r="M130" s="85"/>
      <c r="N130" s="85"/>
      <c r="O130" s="44"/>
      <c r="V130" s="56" t="s">
        <v>210</v>
      </c>
      <c r="AA130" s="302"/>
      <c r="AC130" s="483"/>
      <c r="AG130" s="97" t="s">
        <v>91</v>
      </c>
      <c r="AH130" s="85"/>
      <c r="AI130" s="85"/>
      <c r="AJ130" s="44"/>
      <c r="AK130" s="85"/>
      <c r="AL130" s="85"/>
      <c r="AM130" s="251" t="s">
        <v>203</v>
      </c>
      <c r="AN130" s="99"/>
      <c r="AO130" s="85"/>
      <c r="AP130" s="85"/>
      <c r="AQ130" s="44"/>
      <c r="AX130" s="56" t="s">
        <v>210</v>
      </c>
      <c r="BC130" s="483"/>
    </row>
    <row r="131" spans="1:55" x14ac:dyDescent="0.25">
      <c r="A131" s="302"/>
      <c r="E131" s="97" t="s">
        <v>190</v>
      </c>
      <c r="F131" s="85" t="s">
        <v>13</v>
      </c>
      <c r="G131" s="176">
        <f>G111*(44/28)*$U$13</f>
        <v>0</v>
      </c>
      <c r="H131" s="44"/>
      <c r="I131" s="85" t="s">
        <v>173</v>
      </c>
      <c r="J131" s="85"/>
      <c r="K131" s="251" t="s">
        <v>203</v>
      </c>
      <c r="L131" s="85"/>
      <c r="M131" s="85"/>
      <c r="N131" s="85"/>
      <c r="O131" s="44"/>
      <c r="V131" s="56" t="s">
        <v>210</v>
      </c>
      <c r="AA131" s="302"/>
      <c r="AC131" s="483"/>
      <c r="AG131" s="97" t="s">
        <v>190</v>
      </c>
      <c r="AH131" s="85" t="s">
        <v>13</v>
      </c>
      <c r="AI131" s="176">
        <f>AI111*(44/28)*$U$13</f>
        <v>0</v>
      </c>
      <c r="AJ131" s="44"/>
      <c r="AK131" s="85" t="s">
        <v>173</v>
      </c>
      <c r="AL131" s="85"/>
      <c r="AM131" s="251" t="s">
        <v>203</v>
      </c>
      <c r="AN131" s="85"/>
      <c r="AO131" s="85"/>
      <c r="AP131" s="85"/>
      <c r="AQ131" s="44"/>
      <c r="AX131" s="56" t="s">
        <v>210</v>
      </c>
      <c r="BC131" s="483"/>
    </row>
    <row r="132" spans="1:55" x14ac:dyDescent="0.25">
      <c r="A132" s="302"/>
      <c r="E132" s="97" t="s">
        <v>189</v>
      </c>
      <c r="F132" s="85" t="s">
        <v>13</v>
      </c>
      <c r="G132" s="182">
        <f>G112*(44/28)*M110*$U$13</f>
        <v>0</v>
      </c>
      <c r="H132" s="44"/>
      <c r="I132" s="85" t="s">
        <v>174</v>
      </c>
      <c r="J132" s="85"/>
      <c r="K132" s="251" t="s">
        <v>203</v>
      </c>
      <c r="L132" s="85"/>
      <c r="M132" s="85"/>
      <c r="N132" s="85"/>
      <c r="O132" s="44"/>
      <c r="V132" s="56" t="s">
        <v>210</v>
      </c>
      <c r="AA132" s="302"/>
      <c r="AC132" s="483"/>
      <c r="AG132" s="97" t="s">
        <v>189</v>
      </c>
      <c r="AH132" s="85" t="s">
        <v>13</v>
      </c>
      <c r="AI132" s="182">
        <f>AI112*(44/28)*AO110*$U$13</f>
        <v>0</v>
      </c>
      <c r="AJ132" s="44"/>
      <c r="AK132" s="85" t="s">
        <v>174</v>
      </c>
      <c r="AL132" s="85"/>
      <c r="AM132" s="251" t="s">
        <v>203</v>
      </c>
      <c r="AN132" s="85"/>
      <c r="AO132" s="85"/>
      <c r="AP132" s="85"/>
      <c r="AQ132" s="44"/>
      <c r="AX132" s="56" t="s">
        <v>210</v>
      </c>
      <c r="BC132" s="483"/>
    </row>
    <row r="133" spans="1:55" x14ac:dyDescent="0.25">
      <c r="A133" s="302"/>
      <c r="E133" s="97" t="s">
        <v>198</v>
      </c>
      <c r="F133" s="85" t="s">
        <v>13</v>
      </c>
      <c r="G133" s="182">
        <f>G113*(44/28)*M112*$U$13</f>
        <v>0</v>
      </c>
      <c r="H133" s="44"/>
      <c r="I133" s="85" t="s">
        <v>199</v>
      </c>
      <c r="J133" s="85"/>
      <c r="K133" s="251" t="s">
        <v>203</v>
      </c>
      <c r="L133" s="85"/>
      <c r="M133" s="85"/>
      <c r="N133" s="85"/>
      <c r="O133" s="44"/>
      <c r="V133" s="56" t="s">
        <v>210</v>
      </c>
      <c r="AA133" s="302"/>
      <c r="AC133" s="483"/>
      <c r="AG133" s="97" t="s">
        <v>198</v>
      </c>
      <c r="AH133" s="85" t="s">
        <v>13</v>
      </c>
      <c r="AI133" s="182">
        <f>AI113*(44/28)*AO112*$U$13</f>
        <v>0</v>
      </c>
      <c r="AJ133" s="44"/>
      <c r="AK133" s="85" t="s">
        <v>199</v>
      </c>
      <c r="AL133" s="85"/>
      <c r="AM133" s="251" t="s">
        <v>203</v>
      </c>
      <c r="AN133" s="85"/>
      <c r="AO133" s="85"/>
      <c r="AP133" s="85"/>
      <c r="AQ133" s="44"/>
      <c r="AX133" s="56" t="s">
        <v>210</v>
      </c>
      <c r="BC133" s="483"/>
    </row>
    <row r="134" spans="1:55" x14ac:dyDescent="0.25">
      <c r="A134" s="302"/>
      <c r="E134" s="66"/>
      <c r="F134" s="44"/>
      <c r="G134" s="44"/>
      <c r="H134" s="44"/>
      <c r="I134" s="44"/>
      <c r="J134" s="44"/>
      <c r="K134" s="251" t="s">
        <v>203</v>
      </c>
      <c r="L134" s="85"/>
      <c r="M134" s="85"/>
      <c r="N134" s="85"/>
      <c r="O134" s="44"/>
      <c r="V134" s="56" t="s">
        <v>210</v>
      </c>
      <c r="AA134" s="302"/>
      <c r="AC134" s="483"/>
      <c r="AG134" s="66"/>
      <c r="AH134" s="44"/>
      <c r="AI134" s="44"/>
      <c r="AJ134" s="44"/>
      <c r="AK134" s="44"/>
      <c r="AL134" s="44"/>
      <c r="AM134" s="251" t="s">
        <v>203</v>
      </c>
      <c r="AN134" s="85"/>
      <c r="AO134" s="85"/>
      <c r="AP134" s="85"/>
      <c r="AQ134" s="44"/>
      <c r="AX134" s="56" t="s">
        <v>210</v>
      </c>
      <c r="BC134" s="483"/>
    </row>
    <row r="135" spans="1:55" x14ac:dyDescent="0.25">
      <c r="A135" s="302"/>
      <c r="E135" s="97" t="s">
        <v>15</v>
      </c>
      <c r="F135" s="85"/>
      <c r="G135" s="85"/>
      <c r="H135" s="44"/>
      <c r="I135" s="85"/>
      <c r="J135" s="85"/>
      <c r="K135" s="65"/>
      <c r="L135" s="85"/>
      <c r="M135" s="85"/>
      <c r="N135" s="85"/>
      <c r="O135" s="44"/>
      <c r="V135" s="56" t="s">
        <v>210</v>
      </c>
      <c r="AA135" s="302"/>
      <c r="AC135" s="483"/>
      <c r="AG135" s="97" t="s">
        <v>15</v>
      </c>
      <c r="AH135" s="85"/>
      <c r="AI135" s="85"/>
      <c r="AJ135" s="44"/>
      <c r="AK135" s="85"/>
      <c r="AL135" s="85"/>
      <c r="AM135" s="65"/>
      <c r="AN135" s="85"/>
      <c r="AO135" s="85"/>
      <c r="AP135" s="85"/>
      <c r="AQ135" s="44"/>
      <c r="AX135" s="56" t="s">
        <v>210</v>
      </c>
      <c r="BC135" s="483"/>
    </row>
    <row r="136" spans="1:55" x14ac:dyDescent="0.25">
      <c r="A136" s="302"/>
      <c r="E136" s="96" t="s">
        <v>186</v>
      </c>
      <c r="F136" s="84" t="s">
        <v>13</v>
      </c>
      <c r="G136" s="182">
        <f>G127*(44/28)*$U$13</f>
        <v>0</v>
      </c>
      <c r="H136" s="44"/>
      <c r="I136" s="85" t="s">
        <v>175</v>
      </c>
      <c r="J136" s="85"/>
      <c r="K136" s="251" t="s">
        <v>203</v>
      </c>
      <c r="L136" s="85"/>
      <c r="M136" s="85"/>
      <c r="N136" s="85"/>
      <c r="O136" s="44"/>
      <c r="AA136" s="302"/>
      <c r="AC136" s="483"/>
      <c r="AG136" s="96" t="s">
        <v>186</v>
      </c>
      <c r="AH136" s="84" t="s">
        <v>13</v>
      </c>
      <c r="AI136" s="182">
        <f>AI127*(44/28)*$U$13</f>
        <v>79.925105718232047</v>
      </c>
      <c r="AJ136" s="44"/>
      <c r="AK136" s="85" t="s">
        <v>175</v>
      </c>
      <c r="AL136" s="85"/>
      <c r="AM136" s="251" t="s">
        <v>203</v>
      </c>
      <c r="AN136" s="85"/>
      <c r="AO136" s="85"/>
      <c r="AP136" s="85"/>
      <c r="AQ136" s="44"/>
      <c r="BC136" s="483"/>
    </row>
    <row r="137" spans="1:55" x14ac:dyDescent="0.25">
      <c r="A137" s="302"/>
      <c r="E137" s="96" t="s">
        <v>187</v>
      </c>
      <c r="F137" s="84" t="s">
        <v>13</v>
      </c>
      <c r="G137" s="182">
        <f>G128*(44/28)*M110*$U$13</f>
        <v>5.8080550556962027</v>
      </c>
      <c r="H137" s="44"/>
      <c r="I137" s="85" t="s">
        <v>176</v>
      </c>
      <c r="J137" s="85"/>
      <c r="K137" s="251" t="s">
        <v>203</v>
      </c>
      <c r="L137" s="195"/>
      <c r="M137" s="195"/>
      <c r="N137" s="195"/>
      <c r="AA137" s="302"/>
      <c r="AC137" s="483"/>
      <c r="AG137" s="96" t="s">
        <v>187</v>
      </c>
      <c r="AH137" s="84" t="s">
        <v>13</v>
      </c>
      <c r="AI137" s="182">
        <f>AI128*(44/28)*AO110*$U$13</f>
        <v>4.3163562430939244</v>
      </c>
      <c r="AJ137" s="44"/>
      <c r="AK137" s="85" t="s">
        <v>176</v>
      </c>
      <c r="AL137" s="85"/>
      <c r="AM137" s="251" t="s">
        <v>203</v>
      </c>
      <c r="AN137" s="195"/>
      <c r="AO137" s="195"/>
      <c r="AP137" s="195"/>
      <c r="BC137" s="483"/>
    </row>
    <row r="138" spans="1:55" x14ac:dyDescent="0.25">
      <c r="A138" s="302"/>
      <c r="E138" s="96"/>
      <c r="F138" s="84"/>
      <c r="G138" s="182"/>
      <c r="H138" s="44"/>
      <c r="I138" s="85"/>
      <c r="J138" s="85"/>
      <c r="K138" s="251" t="s">
        <v>203</v>
      </c>
      <c r="L138" s="195"/>
      <c r="M138" s="195"/>
      <c r="N138" s="195"/>
      <c r="AA138" s="302"/>
      <c r="AC138" s="483"/>
      <c r="AG138" s="96"/>
      <c r="AH138" s="84"/>
      <c r="AI138" s="182"/>
      <c r="AJ138" s="44"/>
      <c r="AK138" s="85"/>
      <c r="AL138" s="85"/>
      <c r="AM138" s="251" t="s">
        <v>203</v>
      </c>
      <c r="AN138" s="195"/>
      <c r="AO138" s="195"/>
      <c r="AP138" s="195"/>
      <c r="BC138" s="483"/>
    </row>
    <row r="139" spans="1:55" x14ac:dyDescent="0.25">
      <c r="A139" s="302"/>
      <c r="E139" s="97" t="s">
        <v>92</v>
      </c>
      <c r="F139" s="85"/>
      <c r="G139" s="85"/>
      <c r="H139" s="44"/>
      <c r="I139" s="85"/>
      <c r="J139" s="85"/>
      <c r="K139" s="251" t="s">
        <v>203</v>
      </c>
      <c r="L139" s="195"/>
      <c r="M139" s="195"/>
      <c r="N139" s="195"/>
      <c r="AA139" s="302"/>
      <c r="AC139" s="483"/>
      <c r="AG139" s="97" t="s">
        <v>92</v>
      </c>
      <c r="AH139" s="85"/>
      <c r="AI139" s="85"/>
      <c r="AJ139" s="44"/>
      <c r="AK139" s="85"/>
      <c r="AL139" s="85"/>
      <c r="AM139" s="251" t="s">
        <v>203</v>
      </c>
      <c r="AN139" s="195"/>
      <c r="AO139" s="195"/>
      <c r="AP139" s="195"/>
      <c r="BC139" s="483"/>
    </row>
    <row r="140" spans="1:55" x14ac:dyDescent="0.25">
      <c r="A140" s="302"/>
      <c r="E140" s="97" t="s">
        <v>191</v>
      </c>
      <c r="F140" s="84" t="s">
        <v>13</v>
      </c>
      <c r="G140" s="176">
        <f>G131+G136</f>
        <v>0</v>
      </c>
      <c r="H140" s="44"/>
      <c r="I140" s="85"/>
      <c r="J140" s="85"/>
      <c r="K140" s="251" t="s">
        <v>203</v>
      </c>
      <c r="L140" s="195"/>
      <c r="M140" s="195"/>
      <c r="N140" s="195"/>
      <c r="AA140" s="302"/>
      <c r="AC140" s="483"/>
      <c r="AG140" s="97" t="s">
        <v>191</v>
      </c>
      <c r="AH140" s="84" t="s">
        <v>13</v>
      </c>
      <c r="AI140" s="176">
        <f>AI131+AI136</f>
        <v>79.925105718232047</v>
      </c>
      <c r="AJ140" s="44"/>
      <c r="AK140" s="85"/>
      <c r="AL140" s="85"/>
      <c r="AM140" s="251" t="s">
        <v>203</v>
      </c>
      <c r="AN140" s="195"/>
      <c r="AO140" s="195"/>
      <c r="AP140" s="195"/>
      <c r="BC140" s="483"/>
    </row>
    <row r="141" spans="1:55" x14ac:dyDescent="0.25">
      <c r="A141" s="302"/>
      <c r="E141" s="97" t="s">
        <v>192</v>
      </c>
      <c r="F141" s="84" t="s">
        <v>13</v>
      </c>
      <c r="G141" s="176">
        <f>G132+G133+G137</f>
        <v>5.8080550556962027</v>
      </c>
      <c r="H141" s="44"/>
      <c r="I141" s="85"/>
      <c r="J141" s="85"/>
      <c r="K141" s="251" t="s">
        <v>203</v>
      </c>
      <c r="L141" s="195"/>
      <c r="M141" s="195"/>
      <c r="N141" s="195"/>
      <c r="AA141" s="302"/>
      <c r="AC141" s="483"/>
      <c r="AG141" s="97" t="s">
        <v>192</v>
      </c>
      <c r="AH141" s="84" t="s">
        <v>13</v>
      </c>
      <c r="AI141" s="176">
        <f>AI132+AI133+AI137</f>
        <v>4.3163562430939244</v>
      </c>
      <c r="AJ141" s="44"/>
      <c r="AK141" s="85"/>
      <c r="AL141" s="85"/>
      <c r="AM141" s="251" t="s">
        <v>203</v>
      </c>
      <c r="AN141" s="195"/>
      <c r="AO141" s="195"/>
      <c r="AP141" s="195"/>
      <c r="BC141" s="483"/>
    </row>
    <row r="142" spans="1:55" x14ac:dyDescent="0.25">
      <c r="A142" s="302"/>
      <c r="E142" s="115"/>
      <c r="F142" s="24"/>
      <c r="G142" s="24"/>
      <c r="H142" s="24"/>
      <c r="I142" s="24"/>
      <c r="J142" s="24"/>
      <c r="K142" s="253" t="s">
        <v>203</v>
      </c>
      <c r="L142" s="195"/>
      <c r="M142" s="195"/>
      <c r="N142" s="195"/>
      <c r="AA142" s="302"/>
      <c r="AC142" s="483"/>
      <c r="AG142" s="115"/>
      <c r="AH142" s="24"/>
      <c r="AI142" s="24"/>
      <c r="AJ142" s="24"/>
      <c r="AK142" s="24"/>
      <c r="AL142" s="24"/>
      <c r="AM142" s="253" t="s">
        <v>203</v>
      </c>
      <c r="AN142" s="195"/>
      <c r="AO142" s="195"/>
      <c r="AP142" s="195"/>
      <c r="BC142" s="483"/>
    </row>
    <row r="143" spans="1:55" x14ac:dyDescent="0.25">
      <c r="E143" s="44"/>
      <c r="F143" s="44"/>
      <c r="G143" s="44"/>
      <c r="I143" s="44"/>
      <c r="J143" s="44"/>
      <c r="K143" s="208" t="s">
        <v>203</v>
      </c>
      <c r="L143" s="195"/>
      <c r="M143" s="195"/>
      <c r="N143" s="195"/>
      <c r="P143" s="44"/>
      <c r="Q143" s="44"/>
      <c r="R143" s="44"/>
      <c r="S143" s="44"/>
      <c r="T143" s="44"/>
      <c r="U143" s="44" t="s">
        <v>210</v>
      </c>
      <c r="V143" s="44"/>
      <c r="AG143" s="44"/>
      <c r="AH143" s="44"/>
      <c r="AI143" s="44"/>
      <c r="AK143" s="44"/>
      <c r="AL143" s="44"/>
      <c r="AM143" s="208" t="s">
        <v>203</v>
      </c>
      <c r="AN143" s="195"/>
      <c r="AO143" s="195"/>
      <c r="AP143" s="195"/>
      <c r="AR143" s="44"/>
      <c r="AS143" s="44"/>
      <c r="AT143" s="44"/>
      <c r="AU143" s="44"/>
      <c r="AV143" s="44"/>
      <c r="AW143" s="44" t="s">
        <v>210</v>
      </c>
      <c r="AX143" s="44"/>
    </row>
    <row r="144" spans="1:55" x14ac:dyDescent="0.25">
      <c r="A144" s="302"/>
      <c r="B144" s="562" t="str">
        <f>'CH4_Gylle_Stald&amp;Lager'!V108</f>
        <v>Malkekøer, tung race Kalve 0-6 mdr. -tk06</v>
      </c>
      <c r="C144" s="195"/>
      <c r="K144" s="207" t="s">
        <v>203</v>
      </c>
      <c r="L144" s="195"/>
      <c r="M144" s="195"/>
      <c r="N144" s="195"/>
      <c r="Q144" s="577" t="str">
        <f>B144</f>
        <v>Malkekøer, tung race Kalve 0-6 mdr. -tk06</v>
      </c>
      <c r="R144" s="139"/>
      <c r="S144" s="139"/>
      <c r="T144" s="139"/>
      <c r="U144" s="139"/>
      <c r="V144" s="139" t="s">
        <v>210</v>
      </c>
      <c r="W144" s="139"/>
      <c r="X144" s="139"/>
      <c r="Y144" s="139"/>
      <c r="Z144" s="139"/>
      <c r="AA144" s="302"/>
      <c r="AC144" s="483"/>
      <c r="AD144" s="562" t="str">
        <f>'CH4_Gylle_Stald&amp;Lager'!AH108</f>
        <v>Malkekøer, jersey Kalve 0-6 mdr. -jk06</v>
      </c>
      <c r="AE144" s="195"/>
      <c r="AM144" s="207" t="s">
        <v>203</v>
      </c>
      <c r="AN144" s="195"/>
      <c r="AO144" s="195"/>
      <c r="AP144" s="195"/>
      <c r="AS144" s="678" t="str">
        <f>AD144</f>
        <v>Malkekøer, jersey Kalve 0-6 mdr. -jk06</v>
      </c>
      <c r="AT144" s="139"/>
      <c r="AU144" s="139"/>
      <c r="AV144" s="139"/>
      <c r="AW144" s="139"/>
      <c r="AX144" s="139" t="s">
        <v>210</v>
      </c>
      <c r="AY144" s="139"/>
      <c r="AZ144" s="139"/>
      <c r="BA144" s="139"/>
      <c r="BB144" s="139"/>
      <c r="BC144" s="483"/>
    </row>
    <row r="145" spans="1:55" x14ac:dyDescent="0.25">
      <c r="A145" s="302"/>
      <c r="B145" s="135" t="s">
        <v>93</v>
      </c>
      <c r="C145" s="567"/>
      <c r="E145" s="104"/>
      <c r="F145" s="674"/>
      <c r="G145" s="111"/>
      <c r="H145" s="111"/>
      <c r="I145" s="111"/>
      <c r="J145" s="111"/>
      <c r="K145" s="248" t="s">
        <v>203</v>
      </c>
      <c r="L145" s="178"/>
      <c r="M145" s="178" t="s">
        <v>23</v>
      </c>
      <c r="N145" s="200" t="s">
        <v>27</v>
      </c>
      <c r="Q145" s="103"/>
      <c r="R145" s="191"/>
      <c r="S145" s="191"/>
      <c r="T145" s="191"/>
      <c r="U145" s="297"/>
      <c r="V145" s="298" t="s">
        <v>210</v>
      </c>
      <c r="W145" s="178"/>
      <c r="X145" s="178" t="s">
        <v>23</v>
      </c>
      <c r="Y145" s="200" t="s">
        <v>27</v>
      </c>
      <c r="Z145" s="139"/>
      <c r="AA145" s="302"/>
      <c r="AC145" s="483"/>
      <c r="AD145" s="135" t="s">
        <v>93</v>
      </c>
      <c r="AE145" s="567"/>
      <c r="AG145" s="104"/>
      <c r="AH145" s="674"/>
      <c r="AI145" s="111"/>
      <c r="AJ145" s="111"/>
      <c r="AK145" s="111"/>
      <c r="AL145" s="111"/>
      <c r="AM145" s="248" t="s">
        <v>203</v>
      </c>
      <c r="AN145" s="178"/>
      <c r="AO145" s="178" t="s">
        <v>23</v>
      </c>
      <c r="AP145" s="200" t="s">
        <v>27</v>
      </c>
      <c r="AS145" s="103"/>
      <c r="AT145" s="191"/>
      <c r="AU145" s="191"/>
      <c r="AV145" s="191"/>
      <c r="AW145" s="297"/>
      <c r="AX145" s="298" t="s">
        <v>210</v>
      </c>
      <c r="AY145" s="178"/>
      <c r="AZ145" s="178" t="s">
        <v>23</v>
      </c>
      <c r="BA145" s="200" t="s">
        <v>27</v>
      </c>
      <c r="BB145" s="139"/>
      <c r="BC145" s="483"/>
    </row>
    <row r="146" spans="1:55" x14ac:dyDescent="0.25">
      <c r="A146" s="302"/>
      <c r="B146" s="136" t="s">
        <v>81</v>
      </c>
      <c r="C146" s="575">
        <f>'CH4_Gylle_Stald&amp;Lager'!X111</f>
        <v>0</v>
      </c>
      <c r="E146" s="105" t="s">
        <v>231</v>
      </c>
      <c r="F146" s="123"/>
      <c r="G146" s="123"/>
      <c r="H146" s="123"/>
      <c r="I146" s="123"/>
      <c r="J146" s="123"/>
      <c r="K146" s="249" t="s">
        <v>203</v>
      </c>
      <c r="L146" s="175" t="s">
        <v>236</v>
      </c>
      <c r="M146" s="44"/>
      <c r="N146" s="65"/>
      <c r="Q146" s="255" t="s">
        <v>241</v>
      </c>
      <c r="R146" s="675">
        <f>F145</f>
        <v>0</v>
      </c>
      <c r="S146" s="192"/>
      <c r="T146" s="192"/>
      <c r="U146" s="192"/>
      <c r="V146" s="243"/>
      <c r="W146" s="175" t="s">
        <v>361</v>
      </c>
      <c r="X146" s="85"/>
      <c r="Y146" s="186"/>
      <c r="Z146" s="139"/>
      <c r="AA146" s="302"/>
      <c r="AC146" s="483"/>
      <c r="AD146" s="136" t="s">
        <v>81</v>
      </c>
      <c r="AE146" s="575">
        <f>'CH4_Gylle_Stald&amp;Lager'!AJ111</f>
        <v>0</v>
      </c>
      <c r="AG146" s="105" t="s">
        <v>231</v>
      </c>
      <c r="AH146" s="123"/>
      <c r="AI146" s="123"/>
      <c r="AJ146" s="123"/>
      <c r="AK146" s="123"/>
      <c r="AL146" s="123"/>
      <c r="AM146" s="249" t="s">
        <v>203</v>
      </c>
      <c r="AN146" s="175" t="s">
        <v>236</v>
      </c>
      <c r="AO146" s="44"/>
      <c r="AP146" s="65"/>
      <c r="AS146" s="255" t="s">
        <v>241</v>
      </c>
      <c r="AT146" s="675">
        <f>AH145</f>
        <v>0</v>
      </c>
      <c r="AU146" s="192"/>
      <c r="AV146" s="192"/>
      <c r="AW146" s="192"/>
      <c r="AX146" s="243"/>
      <c r="AY146" s="175" t="s">
        <v>361</v>
      </c>
      <c r="AZ146" s="85"/>
      <c r="BA146" s="186"/>
      <c r="BB146" s="139"/>
      <c r="BC146" s="483"/>
    </row>
    <row r="147" spans="1:55" x14ac:dyDescent="0.25">
      <c r="A147" s="302"/>
      <c r="B147" s="137" t="s">
        <v>82</v>
      </c>
      <c r="C147" s="576">
        <f>'CH4_Gylle_Stald&amp;Lager'!X112</f>
        <v>0</v>
      </c>
      <c r="E147" s="106"/>
      <c r="F147" s="676" t="s">
        <v>26</v>
      </c>
      <c r="G147" s="112"/>
      <c r="H147" s="112"/>
      <c r="I147" s="112"/>
      <c r="J147" s="112"/>
      <c r="K147" s="250" t="s">
        <v>203</v>
      </c>
      <c r="L147" s="44" t="s">
        <v>170</v>
      </c>
      <c r="M147" s="44">
        <f>INDEX($E$4:$N$19,MATCH(F146,$E$4:$E$19, 0),3)</f>
        <v>0</v>
      </c>
      <c r="N147" s="65">
        <f>INDEX($E$4:$N$19,MATCH(F146,$E$4:$E$19, 0),4)</f>
        <v>0</v>
      </c>
      <c r="Q147" s="255" t="s">
        <v>242</v>
      </c>
      <c r="R147" s="675" t="str">
        <f>F147</f>
        <v>Dybstrøelse (hele arealet)</v>
      </c>
      <c r="S147" s="192"/>
      <c r="T147" s="192"/>
      <c r="U147" s="192"/>
      <c r="V147" s="243"/>
      <c r="W147" s="44" t="s">
        <v>170</v>
      </c>
      <c r="X147" s="44">
        <f>INDEX($E$22:$N$24,MATCH(R148,$E$22:$E$24, 0),3)</f>
        <v>0</v>
      </c>
      <c r="Y147" s="65">
        <f>INDEX($E$22:$N$24,MATCH(R148,$E$22:$E$24, 0),4)</f>
        <v>0</v>
      </c>
      <c r="Z147" s="139"/>
      <c r="AA147" s="302"/>
      <c r="AC147" s="483"/>
      <c r="AD147" s="137" t="s">
        <v>82</v>
      </c>
      <c r="AE147" s="576">
        <f>'CH4_Gylle_Stald&amp;Lager'!AJ112</f>
        <v>0</v>
      </c>
      <c r="AG147" s="106"/>
      <c r="AH147" s="676" t="s">
        <v>26</v>
      </c>
      <c r="AI147" s="112"/>
      <c r="AJ147" s="112"/>
      <c r="AK147" s="112"/>
      <c r="AL147" s="112"/>
      <c r="AM147" s="250" t="s">
        <v>203</v>
      </c>
      <c r="AN147" s="44" t="s">
        <v>170</v>
      </c>
      <c r="AO147" s="44">
        <f>INDEX($E$4:$N$19,MATCH(AH146,$E$4:$E$19, 0),3)</f>
        <v>0</v>
      </c>
      <c r="AP147" s="65">
        <f>INDEX($E$4:$N$19,MATCH(AH146,$E$4:$E$19, 0),4)</f>
        <v>0</v>
      </c>
      <c r="AS147" s="255" t="s">
        <v>242</v>
      </c>
      <c r="AT147" s="675" t="str">
        <f>AH147</f>
        <v>Dybstrøelse (hele arealet)</v>
      </c>
      <c r="AU147" s="192"/>
      <c r="AV147" s="192"/>
      <c r="AW147" s="192"/>
      <c r="AX147" s="243"/>
      <c r="AY147" s="44" t="s">
        <v>170</v>
      </c>
      <c r="AZ147" s="44">
        <f>INDEX($E$22:$N$24,MATCH(AT148,$E$22:$E$24, 0),3)</f>
        <v>0</v>
      </c>
      <c r="BA147" s="65">
        <f>INDEX($E$22:$N$24,MATCH(AT148,$E$22:$E$24, 0),4)</f>
        <v>0</v>
      </c>
      <c r="BB147" s="139"/>
      <c r="BC147" s="483"/>
    </row>
    <row r="148" spans="1:55" x14ac:dyDescent="0.25">
      <c r="A148" s="303"/>
      <c r="B148" s="138"/>
      <c r="C148" s="568"/>
      <c r="E148" s="43"/>
      <c r="F148" s="294" t="s">
        <v>5</v>
      </c>
      <c r="G148" s="295" t="s">
        <v>6</v>
      </c>
      <c r="H148" s="296" t="s">
        <v>356</v>
      </c>
      <c r="I148" s="44"/>
      <c r="J148" s="44"/>
      <c r="K148" s="251" t="s">
        <v>203</v>
      </c>
      <c r="L148" s="44" t="s">
        <v>2</v>
      </c>
      <c r="M148" s="44"/>
      <c r="N148" s="65">
        <f>INDEX($E$4:$N$19,MATCH(F146,$E$4:$E$19, 0),7)</f>
        <v>0</v>
      </c>
      <c r="Q148" s="255" t="s">
        <v>360</v>
      </c>
      <c r="R148" s="675"/>
      <c r="S148" s="192"/>
      <c r="T148" s="192"/>
      <c r="U148" s="192"/>
      <c r="V148" s="243"/>
      <c r="W148" s="44" t="s">
        <v>1</v>
      </c>
      <c r="X148" s="44">
        <f>INDEX($E$22:$N$24,MATCH(R148,$E$22:$E$24, 0),6)</f>
        <v>0</v>
      </c>
      <c r="Y148" s="65"/>
      <c r="Z148" s="139"/>
      <c r="AA148" s="303"/>
      <c r="AC148" s="484"/>
      <c r="AD148" s="138"/>
      <c r="AE148" s="568"/>
      <c r="AG148" s="43"/>
      <c r="AH148" s="294" t="s">
        <v>5</v>
      </c>
      <c r="AI148" s="295" t="s">
        <v>6</v>
      </c>
      <c r="AJ148" s="296" t="s">
        <v>356</v>
      </c>
      <c r="AK148" s="44"/>
      <c r="AL148" s="44"/>
      <c r="AM148" s="251" t="s">
        <v>203</v>
      </c>
      <c r="AN148" s="44" t="s">
        <v>2</v>
      </c>
      <c r="AO148" s="44"/>
      <c r="AP148" s="65">
        <f>INDEX($E$4:$N$19,MATCH(AH146,$E$4:$E$19, 0),7)</f>
        <v>0</v>
      </c>
      <c r="AS148" s="255" t="s">
        <v>360</v>
      </c>
      <c r="AT148" s="675"/>
      <c r="AU148" s="192"/>
      <c r="AV148" s="192"/>
      <c r="AW148" s="192"/>
      <c r="AX148" s="243"/>
      <c r="AY148" s="44" t="s">
        <v>1</v>
      </c>
      <c r="AZ148" s="44">
        <f>INDEX($E$22:$N$24,MATCH(AT148,$E$22:$E$24, 0),6)</f>
        <v>0</v>
      </c>
      <c r="BA148" s="65"/>
      <c r="BB148" s="139"/>
      <c r="BC148" s="484"/>
    </row>
    <row r="149" spans="1:55" x14ac:dyDescent="0.25">
      <c r="A149" s="303"/>
      <c r="B149" s="229" t="s">
        <v>221</v>
      </c>
      <c r="C149" s="569"/>
      <c r="E149" s="66" t="s">
        <v>101</v>
      </c>
      <c r="F149" s="305">
        <f>INDEX(Normtal!$Q$3:$AC$551,MATCH(B144,Normtal!$Q$3:$Q$551,0),3)</f>
        <v>26.67070886075949</v>
      </c>
      <c r="G149" s="281"/>
      <c r="H149" s="285">
        <f>INDEX(Normtal!$Q$3:$AC$551,MATCH(B144,Normtal!$Q$3:$Q$551,0),4)</f>
        <v>18.879265822784809</v>
      </c>
      <c r="I149" s="85"/>
      <c r="J149" s="44"/>
      <c r="K149" s="251" t="s">
        <v>203</v>
      </c>
      <c r="L149" s="44" t="s">
        <v>1</v>
      </c>
      <c r="M149" s="44">
        <f>INDEX($E$4:$N$19,MATCH(F146,$E$4:$E$19, 0),6)</f>
        <v>0</v>
      </c>
      <c r="N149" s="65"/>
      <c r="Q149" s="299" t="s">
        <v>359</v>
      </c>
      <c r="R149" s="676" t="s">
        <v>135</v>
      </c>
      <c r="S149" s="194"/>
      <c r="T149" s="194"/>
      <c r="U149" s="194"/>
      <c r="V149" s="241"/>
      <c r="W149" s="44" t="s">
        <v>2</v>
      </c>
      <c r="X149" s="44"/>
      <c r="Y149" s="65">
        <f>INDEX($E$22:$N$24,MATCH(R148,$E$22:$E$24, 0),7)</f>
        <v>0</v>
      </c>
      <c r="Z149" s="139"/>
      <c r="AA149" s="303"/>
      <c r="AC149" s="484"/>
      <c r="AD149" s="229" t="s">
        <v>221</v>
      </c>
      <c r="AE149" s="569"/>
      <c r="AG149" s="66" t="s">
        <v>101</v>
      </c>
      <c r="AH149" s="305">
        <f>INDEX(Normtal!$Q$3:$AC$551,MATCH(AD144,Normtal!$Q$3:$Q$551,0),3)</f>
        <v>20</v>
      </c>
      <c r="AI149" s="281"/>
      <c r="AJ149" s="285">
        <f>INDEX(Normtal!$Q$3:$AC$551,MATCH(AD144,Normtal!$Q$3:$Q$551,0),4)</f>
        <v>14.2</v>
      </c>
      <c r="AK149" s="85"/>
      <c r="AL149" s="44"/>
      <c r="AM149" s="251" t="s">
        <v>203</v>
      </c>
      <c r="AN149" s="44" t="s">
        <v>1</v>
      </c>
      <c r="AO149" s="44">
        <f>INDEX($E$4:$N$19,MATCH(AH146,$E$4:$E$19, 0),6)</f>
        <v>0</v>
      </c>
      <c r="AP149" s="65"/>
      <c r="AS149" s="299" t="s">
        <v>359</v>
      </c>
      <c r="AT149" s="676" t="s">
        <v>135</v>
      </c>
      <c r="AU149" s="194"/>
      <c r="AV149" s="194"/>
      <c r="AW149" s="194"/>
      <c r="AX149" s="241"/>
      <c r="AY149" s="44" t="s">
        <v>2</v>
      </c>
      <c r="AZ149" s="44"/>
      <c r="BA149" s="65">
        <f>INDEX($E$22:$N$24,MATCH(AT148,$E$22:$E$24, 0),7)</f>
        <v>0</v>
      </c>
      <c r="BB149" s="139"/>
      <c r="BC149" s="484"/>
    </row>
    <row r="150" spans="1:55" x14ac:dyDescent="0.25">
      <c r="A150" s="303"/>
      <c r="B150" s="231" t="s">
        <v>224</v>
      </c>
      <c r="C150" s="574">
        <f>'CH4_Gylle_Stald&amp;Lager'!X115</f>
        <v>0</v>
      </c>
      <c r="E150" s="66" t="s">
        <v>103</v>
      </c>
      <c r="F150" s="305">
        <f>F149*(C146/365)*(C147/24)</f>
        <v>0</v>
      </c>
      <c r="G150" s="281"/>
      <c r="H150" s="285">
        <f>H149*(C146/365)*(C147/24)</f>
        <v>0</v>
      </c>
      <c r="I150" s="44" t="s">
        <v>357</v>
      </c>
      <c r="J150" s="44"/>
      <c r="K150" s="251" t="s">
        <v>203</v>
      </c>
      <c r="L150" s="175" t="s">
        <v>237</v>
      </c>
      <c r="M150" s="44"/>
      <c r="N150" s="65"/>
      <c r="Q150" s="118"/>
      <c r="R150" s="119"/>
      <c r="S150" s="119"/>
      <c r="T150" s="119"/>
      <c r="U150" s="119"/>
      <c r="V150" s="124"/>
      <c r="W150" s="56" t="s">
        <v>177</v>
      </c>
      <c r="X150" s="310">
        <f>$J$26</f>
        <v>0.5</v>
      </c>
      <c r="Z150" s="139"/>
      <c r="AA150" s="303"/>
      <c r="AC150" s="484"/>
      <c r="AD150" s="231" t="s">
        <v>224</v>
      </c>
      <c r="AE150" s="574">
        <f>'CH4_Gylle_Stald&amp;Lager'!AJ115</f>
        <v>0</v>
      </c>
      <c r="AG150" s="66" t="s">
        <v>103</v>
      </c>
      <c r="AH150" s="305">
        <f>AH149*(AE146/365)*(AE147/24)</f>
        <v>0</v>
      </c>
      <c r="AI150" s="281"/>
      <c r="AJ150" s="285">
        <f>AJ149*(AE146/365)*(AE147/24)</f>
        <v>0</v>
      </c>
      <c r="AK150" s="44" t="s">
        <v>357</v>
      </c>
      <c r="AL150" s="44"/>
      <c r="AM150" s="251" t="s">
        <v>203</v>
      </c>
      <c r="AN150" s="175" t="s">
        <v>237</v>
      </c>
      <c r="AO150" s="44"/>
      <c r="AP150" s="65"/>
      <c r="AS150" s="118"/>
      <c r="AT150" s="119"/>
      <c r="AU150" s="119"/>
      <c r="AV150" s="119"/>
      <c r="AW150" s="119"/>
      <c r="AX150" s="124"/>
      <c r="AY150" s="56" t="s">
        <v>177</v>
      </c>
      <c r="AZ150" s="310">
        <f>$J$26</f>
        <v>0.5</v>
      </c>
      <c r="BB150" s="139"/>
      <c r="BC150" s="484"/>
    </row>
    <row r="151" spans="1:55" x14ac:dyDescent="0.25">
      <c r="A151" s="303"/>
      <c r="B151" s="233" t="s">
        <v>223</v>
      </c>
      <c r="C151" s="570">
        <f>(365-C146*C147/24)*C150</f>
        <v>0</v>
      </c>
      <c r="D151" s="254"/>
      <c r="E151" s="66" t="s">
        <v>104</v>
      </c>
      <c r="F151" s="306">
        <f>F149-F150</f>
        <v>26.67070886075949</v>
      </c>
      <c r="G151" s="289"/>
      <c r="H151" s="287">
        <f>H149-H150</f>
        <v>18.879265822784809</v>
      </c>
      <c r="I151" s="44" t="s">
        <v>358</v>
      </c>
      <c r="J151" s="44"/>
      <c r="K151" s="251" t="s">
        <v>203</v>
      </c>
      <c r="L151" s="99" t="s">
        <v>170</v>
      </c>
      <c r="M151" s="85">
        <f>INDEX($E$4:$N$19,MATCH(F147,$E$4:$E$19, 0),3)</f>
        <v>0</v>
      </c>
      <c r="N151" s="186">
        <f>INDEX($E$4:$N$19,MATCH(F147,$E$4:$E$19, 0),4)</f>
        <v>1</v>
      </c>
      <c r="Q151" s="96" t="s">
        <v>139</v>
      </c>
      <c r="R151" s="85"/>
      <c r="S151" s="85"/>
      <c r="T151" s="85"/>
      <c r="U151" s="85"/>
      <c r="V151" s="186" t="s">
        <v>210</v>
      </c>
      <c r="W151" s="175" t="s">
        <v>364</v>
      </c>
      <c r="X151" s="44"/>
      <c r="Y151" s="65"/>
      <c r="Z151" s="139"/>
      <c r="AA151" s="303"/>
      <c r="AC151" s="484"/>
      <c r="AD151" s="233" t="s">
        <v>223</v>
      </c>
      <c r="AE151" s="570">
        <f>(365-AE146*AE147/24)*AE150</f>
        <v>0</v>
      </c>
      <c r="AF151" s="254"/>
      <c r="AG151" s="66" t="s">
        <v>104</v>
      </c>
      <c r="AH151" s="306">
        <f>AH149-AH150</f>
        <v>20</v>
      </c>
      <c r="AI151" s="289"/>
      <c r="AJ151" s="287">
        <f>AJ149-AJ150</f>
        <v>14.2</v>
      </c>
      <c r="AK151" s="44" t="s">
        <v>358</v>
      </c>
      <c r="AL151" s="44"/>
      <c r="AM151" s="251" t="s">
        <v>203</v>
      </c>
      <c r="AN151" s="99" t="s">
        <v>170</v>
      </c>
      <c r="AO151" s="85">
        <f>INDEX($E$4:$N$19,MATCH(AH147,$E$4:$E$19, 0),3)</f>
        <v>0</v>
      </c>
      <c r="AP151" s="186">
        <f>INDEX($E$4:$N$19,MATCH(AH147,$E$4:$E$19, 0),4)</f>
        <v>1</v>
      </c>
      <c r="AS151" s="96" t="s">
        <v>139</v>
      </c>
      <c r="AT151" s="85"/>
      <c r="AU151" s="85"/>
      <c r="AV151" s="85"/>
      <c r="AW151" s="85"/>
      <c r="AX151" s="186" t="s">
        <v>210</v>
      </c>
      <c r="AY151" s="175" t="s">
        <v>364</v>
      </c>
      <c r="AZ151" s="44"/>
      <c r="BA151" s="65"/>
      <c r="BB151" s="139"/>
      <c r="BC151" s="484"/>
    </row>
    <row r="152" spans="1:55" x14ac:dyDescent="0.25">
      <c r="A152" s="303"/>
      <c r="B152" s="231" t="s">
        <v>222</v>
      </c>
      <c r="C152" s="573"/>
      <c r="E152" s="66"/>
      <c r="F152" s="677"/>
      <c r="G152" s="221"/>
      <c r="H152" s="291"/>
      <c r="I152" s="44"/>
      <c r="J152" s="44"/>
      <c r="K152" s="65"/>
      <c r="L152" s="85" t="s">
        <v>2</v>
      </c>
      <c r="M152" s="85"/>
      <c r="N152" s="186">
        <f>INDEX($E$4:$N$19,MATCH(F147,$E$4:$E$19, 0),7)</f>
        <v>6</v>
      </c>
      <c r="Q152" s="66"/>
      <c r="R152" s="44"/>
      <c r="S152" s="44"/>
      <c r="T152" s="85"/>
      <c r="U152" s="85"/>
      <c r="V152" s="186" t="s">
        <v>210</v>
      </c>
      <c r="W152" s="99" t="s">
        <v>170</v>
      </c>
      <c r="X152" s="85">
        <f>INDEX($E$22:$N$24,MATCH(R149,$E$22:$E$24, 0),3)</f>
        <v>0</v>
      </c>
      <c r="Y152" s="186">
        <f>INDEX($E$22:$N$24,MATCH(R149,$E$22:$E$24, 0),4)</f>
        <v>1</v>
      </c>
      <c r="Z152" s="139"/>
      <c r="AA152" s="303"/>
      <c r="AC152" s="484"/>
      <c r="AD152" s="231" t="s">
        <v>222</v>
      </c>
      <c r="AE152" s="573"/>
      <c r="AG152" s="66"/>
      <c r="AH152" s="677"/>
      <c r="AI152" s="221"/>
      <c r="AJ152" s="291"/>
      <c r="AK152" s="44"/>
      <c r="AL152" s="44"/>
      <c r="AM152" s="65"/>
      <c r="AN152" s="85" t="s">
        <v>2</v>
      </c>
      <c r="AO152" s="85"/>
      <c r="AP152" s="186">
        <f>INDEX($E$4:$N$19,MATCH(AH147,$E$4:$E$19, 0),7)</f>
        <v>6</v>
      </c>
      <c r="AS152" s="66"/>
      <c r="AT152" s="44"/>
      <c r="AU152" s="44"/>
      <c r="AV152" s="85"/>
      <c r="AW152" s="85"/>
      <c r="AX152" s="186" t="s">
        <v>210</v>
      </c>
      <c r="AY152" s="99" t="s">
        <v>170</v>
      </c>
      <c r="AZ152" s="85">
        <f>INDEX($E$22:$N$24,MATCH(AT149,$E$22:$E$24, 0),3)</f>
        <v>0</v>
      </c>
      <c r="BA152" s="186">
        <f>INDEX($E$22:$N$24,MATCH(AT149,$E$22:$E$24, 0),4)</f>
        <v>1</v>
      </c>
      <c r="BB152" s="139"/>
      <c r="BC152" s="484"/>
    </row>
    <row r="153" spans="1:55" x14ac:dyDescent="0.25">
      <c r="A153" s="303"/>
      <c r="B153" s="231" t="s">
        <v>224</v>
      </c>
      <c r="C153" s="571">
        <f>1-C150</f>
        <v>1</v>
      </c>
      <c r="E153" s="66" t="s">
        <v>232</v>
      </c>
      <c r="F153" s="305">
        <f>F151*C150*1</f>
        <v>0</v>
      </c>
      <c r="G153" s="281"/>
      <c r="H153" s="286"/>
      <c r="I153" s="246" t="str">
        <f>INDEX($E$4:$N$19,MATCH(F147,$E$4:$E$19, 0),2)</f>
        <v>100 % dybstrøelsessystem</v>
      </c>
      <c r="J153" s="246"/>
      <c r="K153" s="251" t="s">
        <v>203</v>
      </c>
      <c r="L153" s="99" t="s">
        <v>1</v>
      </c>
      <c r="M153" s="85">
        <f>INDEX($E$4:$N$19,MATCH(F147,$E$4:$E$19, 0),6)</f>
        <v>0</v>
      </c>
      <c r="N153" s="65"/>
      <c r="Q153" s="211" t="s">
        <v>371</v>
      </c>
      <c r="R153" s="85" t="s">
        <v>10</v>
      </c>
      <c r="S153" s="176">
        <f>_xlfn.AGGREGATE(9,6, F153:G153)</f>
        <v>0</v>
      </c>
      <c r="T153" s="85"/>
      <c r="U153" s="44"/>
      <c r="V153" s="65"/>
      <c r="W153" s="99" t="s">
        <v>1</v>
      </c>
      <c r="X153" s="85">
        <f>INDEX($E$22:$N$24,MATCH(R149,$E$22:$E$24, 0),6)</f>
        <v>0</v>
      </c>
      <c r="Y153" s="186"/>
      <c r="Z153" s="139"/>
      <c r="AA153" s="303"/>
      <c r="AC153" s="484"/>
      <c r="AD153" s="231" t="s">
        <v>224</v>
      </c>
      <c r="AE153" s="571">
        <f>1-AE150</f>
        <v>1</v>
      </c>
      <c r="AG153" s="66" t="s">
        <v>232</v>
      </c>
      <c r="AH153" s="305">
        <f>AH151*AE150*1</f>
        <v>0</v>
      </c>
      <c r="AI153" s="281"/>
      <c r="AJ153" s="286"/>
      <c r="AK153" s="246" t="str">
        <f>INDEX($E$4:$N$19,MATCH(AH147,$E$4:$E$19, 0),2)</f>
        <v>100 % dybstrøelsessystem</v>
      </c>
      <c r="AL153" s="246"/>
      <c r="AM153" s="251" t="s">
        <v>203</v>
      </c>
      <c r="AN153" s="99" t="s">
        <v>1</v>
      </c>
      <c r="AO153" s="85">
        <f>INDEX($E$4:$N$19,MATCH(AH147,$E$4:$E$19, 0),6)</f>
        <v>0</v>
      </c>
      <c r="AP153" s="65"/>
      <c r="AS153" s="211" t="s">
        <v>371</v>
      </c>
      <c r="AT153" s="85" t="s">
        <v>10</v>
      </c>
      <c r="AU153" s="176">
        <f>_xlfn.AGGREGATE(9,6, AH153:AI153)</f>
        <v>0</v>
      </c>
      <c r="AV153" s="85"/>
      <c r="AW153" s="44"/>
      <c r="AX153" s="65"/>
      <c r="AY153" s="99" t="s">
        <v>1</v>
      </c>
      <c r="AZ153" s="85">
        <f>INDEX($E$22:$N$24,MATCH(AT149,$E$22:$E$24, 0),6)</f>
        <v>0</v>
      </c>
      <c r="BA153" s="186"/>
      <c r="BB153" s="139"/>
      <c r="BC153" s="484"/>
    </row>
    <row r="154" spans="1:55" x14ac:dyDescent="0.25">
      <c r="A154" s="302"/>
      <c r="B154" s="233" t="s">
        <v>81</v>
      </c>
      <c r="C154" s="570">
        <f>(365-C146*C147/24)*C153</f>
        <v>365</v>
      </c>
      <c r="E154" s="66" t="s">
        <v>102</v>
      </c>
      <c r="F154" s="305" t="e">
        <f>INDEX(Normtal!$Q$3:$AC$551,MATCH(F152,Normtal!$AA$3:$AA$551, 0),6)*C151/365</f>
        <v>#N/A</v>
      </c>
      <c r="G154" s="283"/>
      <c r="H154" s="286"/>
      <c r="I154" s="44"/>
      <c r="J154" s="44"/>
      <c r="K154" s="65"/>
      <c r="L154" s="175" t="s">
        <v>363</v>
      </c>
      <c r="M154" s="44"/>
      <c r="N154" s="65"/>
      <c r="Q154" s="211" t="s">
        <v>243</v>
      </c>
      <c r="R154" s="85" t="s">
        <v>10</v>
      </c>
      <c r="S154" s="176">
        <f>_xlfn.AGGREGATE(9,6, F154:G154)</f>
        <v>0</v>
      </c>
      <c r="T154" s="85"/>
      <c r="U154" s="85"/>
      <c r="V154" s="186" t="s">
        <v>210</v>
      </c>
      <c r="W154" s="85" t="s">
        <v>2</v>
      </c>
      <c r="X154" s="85"/>
      <c r="Y154" s="186">
        <f>INDEX($E$22:$N$24,MATCH(R149,$E$22:$E$24, 0),7)</f>
        <v>3</v>
      </c>
      <c r="Z154" s="139"/>
      <c r="AA154" s="302"/>
      <c r="AC154" s="483"/>
      <c r="AD154" s="233" t="s">
        <v>81</v>
      </c>
      <c r="AE154" s="570">
        <f>(365-AE146*AE147/24)*AE153</f>
        <v>365</v>
      </c>
      <c r="AG154" s="66" t="s">
        <v>102</v>
      </c>
      <c r="AH154" s="305" t="e">
        <f>INDEX(Normtal!$Q$3:$AC$551,MATCH(AH152,Normtal!$AA$3:$AA$551, 0),6)*AE151/365</f>
        <v>#N/A</v>
      </c>
      <c r="AI154" s="283"/>
      <c r="AJ154" s="286"/>
      <c r="AK154" s="44"/>
      <c r="AL154" s="44"/>
      <c r="AM154" s="65"/>
      <c r="AN154" s="175" t="s">
        <v>363</v>
      </c>
      <c r="AO154" s="44"/>
      <c r="AP154" s="65"/>
      <c r="AS154" s="211" t="s">
        <v>243</v>
      </c>
      <c r="AT154" s="85" t="s">
        <v>10</v>
      </c>
      <c r="AU154" s="176">
        <f>_xlfn.AGGREGATE(9,6, AH154:AI154)</f>
        <v>0</v>
      </c>
      <c r="AV154" s="85"/>
      <c r="AW154" s="85"/>
      <c r="AX154" s="186" t="s">
        <v>210</v>
      </c>
      <c r="AY154" s="85" t="s">
        <v>2</v>
      </c>
      <c r="AZ154" s="85"/>
      <c r="BA154" s="186">
        <f>INDEX($E$22:$N$24,MATCH(AT149,$E$22:$E$24, 0),7)</f>
        <v>3</v>
      </c>
      <c r="BB154" s="139"/>
      <c r="BC154" s="483"/>
    </row>
    <row r="155" spans="1:55" x14ac:dyDescent="0.25">
      <c r="A155" s="302"/>
      <c r="C155" s="195"/>
      <c r="E155" s="66" t="s">
        <v>235</v>
      </c>
      <c r="F155" s="307" t="e">
        <f>INDEX(Normtal!$Q$3:$AC$551,MATCH(F152,Normtal!$AA$3:$AA$551, 0),4)*C151/365</f>
        <v>#N/A</v>
      </c>
      <c r="G155" s="247"/>
      <c r="H155" s="285">
        <f>H151*C150</f>
        <v>0</v>
      </c>
      <c r="I155" s="44"/>
      <c r="J155" s="44"/>
      <c r="K155" s="251"/>
      <c r="L155" s="44" t="s">
        <v>362</v>
      </c>
      <c r="M155" s="44">
        <f>$J$26</f>
        <v>0.5</v>
      </c>
      <c r="N155" s="65"/>
      <c r="Q155" s="211" t="s">
        <v>365</v>
      </c>
      <c r="R155" s="85" t="s">
        <v>10</v>
      </c>
      <c r="S155" s="176">
        <f>-_xlfn.AGGREGATE(9,6,G171:G172)</f>
        <v>0</v>
      </c>
      <c r="T155" s="85"/>
      <c r="U155" s="85"/>
      <c r="V155" s="186" t="s">
        <v>210</v>
      </c>
      <c r="W155" s="86" t="s">
        <v>363</v>
      </c>
      <c r="X155" s="85"/>
      <c r="Y155" s="186"/>
      <c r="Z155" s="139"/>
      <c r="AA155" s="302"/>
      <c r="AC155" s="483"/>
      <c r="AE155" s="195"/>
      <c r="AG155" s="66" t="s">
        <v>235</v>
      </c>
      <c r="AH155" s="307" t="e">
        <f>INDEX(Normtal!$Q$3:$AC$551,MATCH(AH152,Normtal!$AA$3:$AA$551, 0),4)*AE151/365</f>
        <v>#N/A</v>
      </c>
      <c r="AI155" s="247"/>
      <c r="AJ155" s="285">
        <f>AJ151*AE150</f>
        <v>0</v>
      </c>
      <c r="AK155" s="44"/>
      <c r="AL155" s="44"/>
      <c r="AM155" s="251"/>
      <c r="AN155" s="44" t="s">
        <v>362</v>
      </c>
      <c r="AO155" s="44">
        <f>$J$26</f>
        <v>0.5</v>
      </c>
      <c r="AP155" s="65"/>
      <c r="AS155" s="211" t="s">
        <v>365</v>
      </c>
      <c r="AT155" s="85" t="s">
        <v>10</v>
      </c>
      <c r="AU155" s="176">
        <f>-_xlfn.AGGREGATE(9,6,AI171:AI172)</f>
        <v>0</v>
      </c>
      <c r="AV155" s="85"/>
      <c r="AW155" s="85"/>
      <c r="AX155" s="186" t="s">
        <v>210</v>
      </c>
      <c r="AY155" s="86" t="s">
        <v>363</v>
      </c>
      <c r="AZ155" s="85"/>
      <c r="BA155" s="186"/>
      <c r="BB155" s="139"/>
      <c r="BC155" s="483"/>
    </row>
    <row r="156" spans="1:55" ht="30" x14ac:dyDescent="0.25">
      <c r="A156" s="302"/>
      <c r="B156" s="257" t="s">
        <v>245</v>
      </c>
      <c r="C156" s="572">
        <f>'CH4_Gylle_Stald&amp;Lager'!X121</f>
        <v>0</v>
      </c>
      <c r="E156" s="66"/>
      <c r="F156" s="290"/>
      <c r="G156" s="290"/>
      <c r="H156" s="292"/>
      <c r="I156" s="44"/>
      <c r="J156" s="44"/>
      <c r="K156" s="251" t="s">
        <v>203</v>
      </c>
      <c r="L156" s="44" t="s">
        <v>171</v>
      </c>
      <c r="M156" s="44">
        <f>$J$27</f>
        <v>-0.5</v>
      </c>
      <c r="N156" s="65"/>
      <c r="Q156" s="211" t="s">
        <v>367</v>
      </c>
      <c r="R156" s="85" t="s">
        <v>10</v>
      </c>
      <c r="S156" s="176">
        <f>-_xlfn.AGGREGATE(9,6,G173,G174)</f>
        <v>0</v>
      </c>
      <c r="T156" s="85"/>
      <c r="U156" s="85"/>
      <c r="V156" s="186"/>
      <c r="W156" s="99" t="s">
        <v>171</v>
      </c>
      <c r="X156" s="85">
        <f>$J$27</f>
        <v>-0.5</v>
      </c>
      <c r="Y156" s="186"/>
      <c r="Z156" s="139"/>
      <c r="AA156" s="302"/>
      <c r="AC156" s="483"/>
      <c r="AD156" s="257" t="s">
        <v>245</v>
      </c>
      <c r="AE156" s="572">
        <f>'CH4_Gylle_Stald&amp;Lager'!AJ121</f>
        <v>0</v>
      </c>
      <c r="AG156" s="66"/>
      <c r="AH156" s="290"/>
      <c r="AI156" s="290"/>
      <c r="AJ156" s="292"/>
      <c r="AK156" s="44"/>
      <c r="AL156" s="44"/>
      <c r="AM156" s="251" t="s">
        <v>203</v>
      </c>
      <c r="AN156" s="44" t="s">
        <v>171</v>
      </c>
      <c r="AO156" s="44">
        <f>$J$27</f>
        <v>-0.5</v>
      </c>
      <c r="AP156" s="65"/>
      <c r="AS156" s="211" t="s">
        <v>367</v>
      </c>
      <c r="AT156" s="85" t="s">
        <v>10</v>
      </c>
      <c r="AU156" s="176">
        <f>-_xlfn.AGGREGATE(9,6,AI173,AI174)</f>
        <v>0</v>
      </c>
      <c r="AV156" s="85"/>
      <c r="AW156" s="85"/>
      <c r="AX156" s="186"/>
      <c r="AY156" s="99" t="s">
        <v>171</v>
      </c>
      <c r="AZ156" s="85">
        <f>$J$27</f>
        <v>-0.5</v>
      </c>
      <c r="BA156" s="186"/>
      <c r="BB156" s="139"/>
      <c r="BC156" s="483"/>
    </row>
    <row r="157" spans="1:55" x14ac:dyDescent="0.25">
      <c r="A157" s="302"/>
      <c r="E157" s="66"/>
      <c r="F157" s="677" t="s">
        <v>378</v>
      </c>
      <c r="G157" s="677" t="s">
        <v>344</v>
      </c>
      <c r="H157" s="284"/>
      <c r="I157" s="44" t="s">
        <v>203</v>
      </c>
      <c r="J157" s="44"/>
      <c r="K157" s="65"/>
      <c r="L157" s="293" t="s">
        <v>238</v>
      </c>
      <c r="M157" s="44"/>
      <c r="N157" s="65"/>
      <c r="Q157" s="455"/>
      <c r="R157" s="84"/>
      <c r="S157" s="94"/>
      <c r="T157" s="85"/>
      <c r="U157" s="85"/>
      <c r="V157" s="186" t="s">
        <v>210</v>
      </c>
      <c r="W157" s="85" t="s">
        <v>177</v>
      </c>
      <c r="X157" s="85">
        <f>$J$26</f>
        <v>0.5</v>
      </c>
      <c r="Y157" s="186"/>
      <c r="Z157" s="139"/>
      <c r="AA157" s="302"/>
      <c r="AC157" s="483"/>
      <c r="AG157" s="66"/>
      <c r="AH157" s="677" t="s">
        <v>629</v>
      </c>
      <c r="AI157" s="677" t="s">
        <v>598</v>
      </c>
      <c r="AJ157" s="284"/>
      <c r="AK157" s="44" t="s">
        <v>203</v>
      </c>
      <c r="AL157" s="44"/>
      <c r="AM157" s="65"/>
      <c r="AN157" s="293" t="s">
        <v>238</v>
      </c>
      <c r="AO157" s="44"/>
      <c r="AP157" s="65"/>
      <c r="AS157" s="455"/>
      <c r="AT157" s="84"/>
      <c r="AU157" s="94"/>
      <c r="AV157" s="85"/>
      <c r="AW157" s="85"/>
      <c r="AX157" s="186" t="s">
        <v>210</v>
      </c>
      <c r="AY157" s="85" t="s">
        <v>177</v>
      </c>
      <c r="AZ157" s="85">
        <f>$J$26</f>
        <v>0.5</v>
      </c>
      <c r="BA157" s="186"/>
      <c r="BB157" s="139"/>
      <c r="BC157" s="483"/>
    </row>
    <row r="158" spans="1:55" x14ac:dyDescent="0.25">
      <c r="A158" s="302"/>
      <c r="B158" s="77" t="s">
        <v>226</v>
      </c>
      <c r="C158" s="236">
        <f>C146*C147/24+C151+C154</f>
        <v>365</v>
      </c>
      <c r="E158" s="66" t="s">
        <v>233</v>
      </c>
      <c r="F158" s="305">
        <f>F151*C153*0</f>
        <v>0</v>
      </c>
      <c r="G158" s="308">
        <f>F151*C153*1</f>
        <v>26.67070886075949</v>
      </c>
      <c r="H158" s="286"/>
      <c r="I158" s="246" t="str">
        <f>INDEX($E$4:$N$19,MATCH(F147,$E$4:$E$19, 0),2)</f>
        <v>100 % dybstrøelsessystem</v>
      </c>
      <c r="J158" s="246"/>
      <c r="K158" s="65"/>
      <c r="L158" s="85" t="s">
        <v>172</v>
      </c>
      <c r="M158" s="85">
        <f>INDEX($E$4:$N$19,MATCH(F145,$E$4:$E$19, 0),3)</f>
        <v>0</v>
      </c>
      <c r="N158" s="186"/>
      <c r="Q158" s="211" t="s">
        <v>372</v>
      </c>
      <c r="R158" s="44"/>
      <c r="S158" s="113">
        <f>_xlfn.AGGREGATE(9,6,F158:G158)</f>
        <v>26.67070886075949</v>
      </c>
      <c r="T158" s="44"/>
      <c r="U158" s="44"/>
      <c r="V158" s="65"/>
      <c r="W158" s="44"/>
      <c r="X158" s="44"/>
      <c r="Y158" s="65"/>
      <c r="Z158" s="139"/>
      <c r="AA158" s="302"/>
      <c r="AC158" s="483"/>
      <c r="AD158" s="77" t="s">
        <v>226</v>
      </c>
      <c r="AE158" s="236">
        <f>AE146*AE147/24+AE151+AE154</f>
        <v>365</v>
      </c>
      <c r="AG158" s="66" t="s">
        <v>233</v>
      </c>
      <c r="AH158" s="305">
        <f>AH151*AE153*0</f>
        <v>0</v>
      </c>
      <c r="AI158" s="308">
        <f>AH151*AE153*1</f>
        <v>20</v>
      </c>
      <c r="AJ158" s="286"/>
      <c r="AK158" s="246" t="str">
        <f>INDEX($E$4:$N$19,MATCH(AH147,$E$4:$E$19, 0),2)</f>
        <v>100 % dybstrøelsessystem</v>
      </c>
      <c r="AL158" s="246"/>
      <c r="AM158" s="65"/>
      <c r="AN158" s="85" t="s">
        <v>172</v>
      </c>
      <c r="AO158" s="85">
        <f>INDEX($E$4:$N$19,MATCH(AH145,$E$4:$E$19, 0),3)</f>
        <v>0</v>
      </c>
      <c r="AP158" s="186"/>
      <c r="AS158" s="211" t="s">
        <v>372</v>
      </c>
      <c r="AT158" s="44"/>
      <c r="AU158" s="113">
        <f>_xlfn.AGGREGATE(9,6,AH158:AI158)</f>
        <v>20</v>
      </c>
      <c r="AV158" s="44"/>
      <c r="AW158" s="44"/>
      <c r="AX158" s="65"/>
      <c r="AY158" s="44"/>
      <c r="AZ158" s="44"/>
      <c r="BA158" s="65"/>
      <c r="BB158" s="139"/>
      <c r="BC158" s="483"/>
    </row>
    <row r="159" spans="1:55" x14ac:dyDescent="0.25">
      <c r="A159" s="302"/>
      <c r="B159" s="720"/>
      <c r="C159" s="245"/>
      <c r="E159" s="117" t="s">
        <v>102</v>
      </c>
      <c r="F159" s="305" t="e">
        <f>INDEX(Normtal!$Q$3:$AC$551,MATCH(F157,Normtal!$AA$3:$AA$551, 0),6)*C154/365</f>
        <v>#N/A</v>
      </c>
      <c r="G159" s="309">
        <f>INDEX(Normtal!$Q$3:$AC$551,MATCH(G157,Normtal!$AA$3:$AA$551, 0),6)*C154/365</f>
        <v>2.3268749999999998</v>
      </c>
      <c r="H159" s="286"/>
      <c r="I159" s="44"/>
      <c r="J159" s="44"/>
      <c r="K159" s="251" t="s">
        <v>203</v>
      </c>
      <c r="L159" s="85"/>
      <c r="M159" s="85"/>
      <c r="N159" s="186"/>
      <c r="Q159" s="211" t="s">
        <v>244</v>
      </c>
      <c r="R159" s="85" t="s">
        <v>10</v>
      </c>
      <c r="S159" s="113">
        <f>_xlfn.AGGREGATE(9,6,F159:G159)</f>
        <v>2.3268749999999998</v>
      </c>
      <c r="T159" s="44"/>
      <c r="U159" s="44"/>
      <c r="V159" s="65"/>
      <c r="W159" s="85" t="s">
        <v>159</v>
      </c>
      <c r="X159" s="85">
        <f>$U$20</f>
        <v>0.01</v>
      </c>
      <c r="Y159" s="186"/>
      <c r="Z159" s="139"/>
      <c r="AA159" s="302"/>
      <c r="AC159" s="483"/>
      <c r="AD159" s="720"/>
      <c r="AE159" s="245"/>
      <c r="AG159" s="117" t="s">
        <v>102</v>
      </c>
      <c r="AH159" s="305" t="e">
        <f>INDEX(Normtal!$Q$3:$AC$551,MATCH(AH157,Normtal!$AA$3:$AA$551, 0),6)*AE154/365</f>
        <v>#N/A</v>
      </c>
      <c r="AI159" s="309">
        <f>INDEX(Normtal!$Q$3:$AC$551,MATCH(AI157,Normtal!$AA$3:$AA$551, 0),6)*AE154/365</f>
        <v>1.8615000000000004</v>
      </c>
      <c r="AJ159" s="286"/>
      <c r="AK159" s="44"/>
      <c r="AL159" s="44"/>
      <c r="AM159" s="251" t="s">
        <v>203</v>
      </c>
      <c r="AN159" s="85"/>
      <c r="AO159" s="85"/>
      <c r="AP159" s="186"/>
      <c r="AS159" s="211" t="s">
        <v>244</v>
      </c>
      <c r="AT159" s="85" t="s">
        <v>10</v>
      </c>
      <c r="AU159" s="113">
        <f>_xlfn.AGGREGATE(9,6,AH159:AI159)</f>
        <v>1.8615000000000004</v>
      </c>
      <c r="AV159" s="44"/>
      <c r="AW159" s="44"/>
      <c r="AX159" s="65"/>
      <c r="AY159" s="85" t="s">
        <v>159</v>
      </c>
      <c r="AZ159" s="85">
        <f>$U$20</f>
        <v>0.01</v>
      </c>
      <c r="BA159" s="186"/>
      <c r="BB159" s="139"/>
      <c r="BC159" s="483"/>
    </row>
    <row r="160" spans="1:55" x14ac:dyDescent="0.25">
      <c r="A160" s="302"/>
      <c r="B160" s="720"/>
      <c r="C160" s="245"/>
      <c r="E160" s="66" t="s">
        <v>234</v>
      </c>
      <c r="F160" s="307" t="e">
        <f>INDEX(Normtal!$Q$3:$AC$551,MATCH(F157,Normtal!$AA$3:$AA$551, 0),4)*C154/365</f>
        <v>#N/A</v>
      </c>
      <c r="G160" s="283"/>
      <c r="H160" s="285">
        <f>H151*C153*0.4</f>
        <v>7.5517063291139239</v>
      </c>
      <c r="I160" s="44"/>
      <c r="J160" s="44"/>
      <c r="K160" s="65"/>
      <c r="L160" s="85" t="s">
        <v>195</v>
      </c>
      <c r="M160" s="85"/>
      <c r="N160" s="201">
        <f>INDEX($E$4:$N$19,MATCH(F145,$E$4:$E$19, 0),7)</f>
        <v>0</v>
      </c>
      <c r="Q160" s="211" t="s">
        <v>368</v>
      </c>
      <c r="R160" s="85" t="s">
        <v>10</v>
      </c>
      <c r="S160" s="300">
        <f>-_xlfn.AGGREGATE(9,6,G176:G177)</f>
        <v>-0.2899758386075949</v>
      </c>
      <c r="T160" s="44"/>
      <c r="U160" s="44"/>
      <c r="V160" s="65"/>
      <c r="W160" s="44"/>
      <c r="X160" s="44"/>
      <c r="Y160" s="186"/>
      <c r="Z160" s="139"/>
      <c r="AA160" s="302"/>
      <c r="AC160" s="483"/>
      <c r="AD160" s="720"/>
      <c r="AE160" s="245"/>
      <c r="AG160" s="66" t="s">
        <v>234</v>
      </c>
      <c r="AH160" s="307" t="e">
        <f>INDEX(Normtal!$Q$3:$AC$551,MATCH(AH157,Normtal!$AA$3:$AA$551, 0),4)*AE154/365</f>
        <v>#N/A</v>
      </c>
      <c r="AI160" s="283"/>
      <c r="AJ160" s="285">
        <f>AJ151*AE153*0.4</f>
        <v>5.68</v>
      </c>
      <c r="AK160" s="44"/>
      <c r="AL160" s="44"/>
      <c r="AM160" s="65"/>
      <c r="AN160" s="85" t="s">
        <v>195</v>
      </c>
      <c r="AO160" s="85"/>
      <c r="AP160" s="201">
        <f>INDEX($E$4:$N$19,MATCH(AH145,$E$4:$E$19, 0),7)</f>
        <v>0</v>
      </c>
      <c r="AS160" s="211" t="s">
        <v>368</v>
      </c>
      <c r="AT160" s="85" t="s">
        <v>10</v>
      </c>
      <c r="AU160" s="300">
        <f>-_xlfn.AGGREGATE(9,6,AI176:AI177)</f>
        <v>-0.218615</v>
      </c>
      <c r="AV160" s="44"/>
      <c r="AW160" s="44"/>
      <c r="AX160" s="65"/>
      <c r="AY160" s="44"/>
      <c r="AZ160" s="44"/>
      <c r="BA160" s="186"/>
      <c r="BB160" s="139"/>
      <c r="BC160" s="483"/>
    </row>
    <row r="161" spans="1:55" x14ac:dyDescent="0.25">
      <c r="A161" s="302"/>
      <c r="E161" s="66"/>
      <c r="F161" s="290"/>
      <c r="G161" s="290"/>
      <c r="H161" s="292"/>
      <c r="I161" s="44"/>
      <c r="J161" s="44"/>
      <c r="K161" s="251" t="s">
        <v>203</v>
      </c>
      <c r="L161" s="85"/>
      <c r="M161" s="85"/>
      <c r="N161" s="186"/>
      <c r="Q161" s="211" t="s">
        <v>366</v>
      </c>
      <c r="R161" s="85" t="s">
        <v>10</v>
      </c>
      <c r="S161" s="300">
        <f>-_xlfn.AGGREGATE(9,6,G178:G179)</f>
        <v>-1.6002425316455693</v>
      </c>
      <c r="T161" s="44"/>
      <c r="U161" s="44"/>
      <c r="V161" s="65"/>
      <c r="Y161" s="65"/>
      <c r="Z161" s="139"/>
      <c r="AA161" s="302"/>
      <c r="AC161" s="483"/>
      <c r="AG161" s="66"/>
      <c r="AH161" s="290"/>
      <c r="AI161" s="290"/>
      <c r="AJ161" s="292"/>
      <c r="AK161" s="44"/>
      <c r="AL161" s="44"/>
      <c r="AM161" s="251" t="s">
        <v>203</v>
      </c>
      <c r="AN161" s="85"/>
      <c r="AO161" s="85"/>
      <c r="AP161" s="186"/>
      <c r="AS161" s="211" t="s">
        <v>366</v>
      </c>
      <c r="AT161" s="85" t="s">
        <v>10</v>
      </c>
      <c r="AU161" s="300">
        <f>-_xlfn.AGGREGATE(9,6,AI178:AI179)</f>
        <v>-1.2</v>
      </c>
      <c r="AV161" s="44"/>
      <c r="AW161" s="44"/>
      <c r="AX161" s="65"/>
      <c r="BA161" s="65"/>
      <c r="BB161" s="139"/>
      <c r="BC161" s="483"/>
    </row>
    <row r="162" spans="1:55" x14ac:dyDescent="0.25">
      <c r="A162" s="302"/>
      <c r="E162" s="96" t="s">
        <v>134</v>
      </c>
      <c r="F162" s="176">
        <f>_xlfn.AGGREGATE(9,6,F155,F160)</f>
        <v>0</v>
      </c>
      <c r="G162" s="288"/>
      <c r="H162" s="266">
        <f>_xlfn.AGGREGATE(9,6,H155,H160)</f>
        <v>7.5517063291139239</v>
      </c>
      <c r="I162" s="44"/>
      <c r="J162" s="44"/>
      <c r="K162" s="65"/>
      <c r="L162" s="85"/>
      <c r="M162" s="85"/>
      <c r="N162" s="186"/>
      <c r="Q162" s="66"/>
      <c r="R162" s="44"/>
      <c r="S162" s="44"/>
      <c r="T162" s="301"/>
      <c r="U162" s="44"/>
      <c r="V162" s="65"/>
      <c r="W162" s="24"/>
      <c r="X162" s="24"/>
      <c r="Y162" s="120"/>
      <c r="Z162" s="48"/>
      <c r="AA162" s="302"/>
      <c r="AC162" s="483"/>
      <c r="AG162" s="96" t="s">
        <v>134</v>
      </c>
      <c r="AH162" s="176">
        <f>_xlfn.AGGREGATE(9,6,AH155,AH160)</f>
        <v>0</v>
      </c>
      <c r="AI162" s="288"/>
      <c r="AJ162" s="266">
        <f>_xlfn.AGGREGATE(9,6,AJ155,AJ160)</f>
        <v>5.68</v>
      </c>
      <c r="AK162" s="44"/>
      <c r="AL162" s="44"/>
      <c r="AM162" s="65"/>
      <c r="AN162" s="85"/>
      <c r="AO162" s="85"/>
      <c r="AP162" s="186"/>
      <c r="AS162" s="66"/>
      <c r="AT162" s="44"/>
      <c r="AU162" s="44"/>
      <c r="AV162" s="301"/>
      <c r="AW162" s="44"/>
      <c r="AX162" s="65"/>
      <c r="AY162" s="24"/>
      <c r="AZ162" s="24"/>
      <c r="BA162" s="120"/>
      <c r="BB162" s="48"/>
      <c r="BC162" s="483"/>
    </row>
    <row r="163" spans="1:55" x14ac:dyDescent="0.25">
      <c r="A163" s="302"/>
      <c r="E163" s="66"/>
      <c r="F163" s="44"/>
      <c r="G163" s="44"/>
      <c r="H163" s="44"/>
      <c r="I163" s="44"/>
      <c r="J163" s="44"/>
      <c r="K163" s="65"/>
      <c r="L163" s="85"/>
      <c r="M163" s="85"/>
      <c r="N163" s="186"/>
      <c r="Q163" s="96" t="s">
        <v>369</v>
      </c>
      <c r="R163" s="85" t="s">
        <v>10</v>
      </c>
      <c r="S163" s="198">
        <f>SUM(S153:S156)</f>
        <v>0</v>
      </c>
      <c r="W163" s="44"/>
      <c r="X163" s="44"/>
      <c r="Y163" s="44"/>
      <c r="Z163" s="48"/>
      <c r="AA163" s="302"/>
      <c r="AC163" s="483"/>
      <c r="AG163" s="66"/>
      <c r="AH163" s="44"/>
      <c r="AI163" s="44"/>
      <c r="AJ163" s="44"/>
      <c r="AK163" s="44"/>
      <c r="AL163" s="44"/>
      <c r="AM163" s="65"/>
      <c r="AN163" s="85"/>
      <c r="AO163" s="85"/>
      <c r="AP163" s="186"/>
      <c r="AS163" s="96" t="s">
        <v>369</v>
      </c>
      <c r="AT163" s="85" t="s">
        <v>10</v>
      </c>
      <c r="AU163" s="198">
        <f>SUM(AU153:AU156)</f>
        <v>0</v>
      </c>
      <c r="AY163" s="44"/>
      <c r="AZ163" s="44"/>
      <c r="BA163" s="44"/>
      <c r="BB163" s="48"/>
      <c r="BC163" s="483"/>
    </row>
    <row r="164" spans="1:55" x14ac:dyDescent="0.25">
      <c r="A164" s="302"/>
      <c r="E164" s="96" t="s">
        <v>84</v>
      </c>
      <c r="F164" s="85"/>
      <c r="G164" s="85"/>
      <c r="H164" s="44"/>
      <c r="I164" s="85"/>
      <c r="J164" s="44"/>
      <c r="K164" s="251" t="s">
        <v>203</v>
      </c>
      <c r="L164" s="85" t="str">
        <f>$T$20</f>
        <v>EF4</v>
      </c>
      <c r="M164" s="85">
        <f>$U$20</f>
        <v>0.01</v>
      </c>
      <c r="N164" s="186"/>
      <c r="Q164" s="310" t="s">
        <v>563</v>
      </c>
      <c r="R164" s="84" t="s">
        <v>10</v>
      </c>
      <c r="S164" s="457" t="e">
        <f>F155-G173</f>
        <v>#N/A</v>
      </c>
      <c r="U164" s="44"/>
      <c r="V164" s="65"/>
      <c r="W164" s="44"/>
      <c r="X164" s="44"/>
      <c r="Y164" s="44"/>
      <c r="Z164" s="48"/>
      <c r="AA164" s="302"/>
      <c r="AC164" s="483"/>
      <c r="AG164" s="96" t="s">
        <v>84</v>
      </c>
      <c r="AH164" s="85"/>
      <c r="AI164" s="85"/>
      <c r="AJ164" s="44"/>
      <c r="AK164" s="85"/>
      <c r="AL164" s="44"/>
      <c r="AM164" s="251" t="s">
        <v>203</v>
      </c>
      <c r="AN164" s="85" t="str">
        <f>$T$20</f>
        <v>EF4</v>
      </c>
      <c r="AO164" s="85">
        <f>$U$20</f>
        <v>0.01</v>
      </c>
      <c r="AP164" s="186"/>
      <c r="AS164" s="310" t="s">
        <v>563</v>
      </c>
      <c r="AT164" s="84" t="s">
        <v>10</v>
      </c>
      <c r="AU164" s="457" t="e">
        <f>AH155-AI173</f>
        <v>#N/A</v>
      </c>
      <c r="AW164" s="44"/>
      <c r="AX164" s="65"/>
      <c r="AY164" s="44"/>
      <c r="AZ164" s="44"/>
      <c r="BA164" s="44"/>
      <c r="BB164" s="48"/>
      <c r="BC164" s="483"/>
    </row>
    <row r="165" spans="1:55" x14ac:dyDescent="0.25">
      <c r="A165" s="302"/>
      <c r="E165" s="96" t="s">
        <v>105</v>
      </c>
      <c r="F165" s="85" t="s">
        <v>10</v>
      </c>
      <c r="G165" s="176">
        <f>(F150)*M158/100</f>
        <v>0</v>
      </c>
      <c r="H165" s="44"/>
      <c r="I165" s="85" t="s">
        <v>85</v>
      </c>
      <c r="J165" s="114" t="s">
        <v>86</v>
      </c>
      <c r="K165" s="252" t="s">
        <v>203</v>
      </c>
      <c r="L165" s="85" t="str">
        <f>$T$21</f>
        <v>[leaching/ runoff]</v>
      </c>
      <c r="M165" s="85">
        <f>$U$21</f>
        <v>0</v>
      </c>
      <c r="N165" s="186"/>
      <c r="Q165" s="96" t="s">
        <v>370</v>
      </c>
      <c r="R165" s="85" t="s">
        <v>10</v>
      </c>
      <c r="S165" s="198">
        <f>SUM(S158:S161)</f>
        <v>27.107365490506325</v>
      </c>
      <c r="W165" s="44"/>
      <c r="X165" s="44"/>
      <c r="Y165" s="44"/>
      <c r="Z165" s="48"/>
      <c r="AA165" s="302"/>
      <c r="AC165" s="483"/>
      <c r="AG165" s="96" t="s">
        <v>105</v>
      </c>
      <c r="AH165" s="85" t="s">
        <v>10</v>
      </c>
      <c r="AI165" s="176">
        <f>(AH150)*AO158/100</f>
        <v>0</v>
      </c>
      <c r="AJ165" s="44"/>
      <c r="AK165" s="85" t="s">
        <v>85</v>
      </c>
      <c r="AL165" s="114" t="s">
        <v>86</v>
      </c>
      <c r="AM165" s="252" t="s">
        <v>203</v>
      </c>
      <c r="AN165" s="85" t="str">
        <f>$T$21</f>
        <v>[leaching/ runoff]</v>
      </c>
      <c r="AO165" s="85">
        <f>$U$21</f>
        <v>0</v>
      </c>
      <c r="AP165" s="186"/>
      <c r="AS165" s="96" t="s">
        <v>370</v>
      </c>
      <c r="AT165" s="85" t="s">
        <v>10</v>
      </c>
      <c r="AU165" s="198">
        <f>SUM(AU158:AU161)</f>
        <v>20.442885</v>
      </c>
      <c r="AY165" s="44"/>
      <c r="AZ165" s="44"/>
      <c r="BA165" s="44"/>
      <c r="BB165" s="48"/>
      <c r="BC165" s="483"/>
    </row>
    <row r="166" spans="1:55" x14ac:dyDescent="0.25">
      <c r="A166" s="302"/>
      <c r="E166" s="96" t="s">
        <v>106</v>
      </c>
      <c r="F166" s="85" t="s">
        <v>10</v>
      </c>
      <c r="G166" s="198">
        <f>(F150)*N160/100</f>
        <v>0</v>
      </c>
      <c r="H166" s="44"/>
      <c r="I166" s="85" t="s">
        <v>87</v>
      </c>
      <c r="J166" s="114" t="s">
        <v>88</v>
      </c>
      <c r="K166" s="252" t="s">
        <v>203</v>
      </c>
      <c r="L166" s="85" t="str">
        <f>$T$22</f>
        <v>EF5</v>
      </c>
      <c r="M166" s="85">
        <f>$U$22</f>
        <v>1.0999999999999999E-2</v>
      </c>
      <c r="N166" s="186"/>
      <c r="T166" s="44"/>
      <c r="U166" s="44"/>
      <c r="V166" s="65"/>
      <c r="W166" s="85"/>
      <c r="X166" s="85"/>
      <c r="Y166" s="85"/>
      <c r="Z166" s="48"/>
      <c r="AA166" s="302"/>
      <c r="AC166" s="483"/>
      <c r="AG166" s="96" t="s">
        <v>106</v>
      </c>
      <c r="AH166" s="85" t="s">
        <v>10</v>
      </c>
      <c r="AI166" s="198">
        <f>(AH150)*AP160/100</f>
        <v>0</v>
      </c>
      <c r="AJ166" s="44"/>
      <c r="AK166" s="85" t="s">
        <v>87</v>
      </c>
      <c r="AL166" s="114" t="s">
        <v>88</v>
      </c>
      <c r="AM166" s="252" t="s">
        <v>203</v>
      </c>
      <c r="AN166" s="85" t="str">
        <f>$T$22</f>
        <v>EF5</v>
      </c>
      <c r="AO166" s="85">
        <f>$U$22</f>
        <v>1.0999999999999999E-2</v>
      </c>
      <c r="AP166" s="186"/>
      <c r="AV166" s="44"/>
      <c r="AW166" s="44"/>
      <c r="AX166" s="65"/>
      <c r="AY166" s="85"/>
      <c r="AZ166" s="85"/>
      <c r="BA166" s="85"/>
      <c r="BB166" s="48"/>
      <c r="BC166" s="483"/>
    </row>
    <row r="167" spans="1:55" x14ac:dyDescent="0.25">
      <c r="A167" s="302"/>
      <c r="E167" s="96" t="s">
        <v>200</v>
      </c>
      <c r="F167" s="85" t="s">
        <v>10</v>
      </c>
      <c r="G167" s="198">
        <f>F150*M167/100</f>
        <v>0</v>
      </c>
      <c r="H167" s="44"/>
      <c r="I167" s="85" t="s">
        <v>201</v>
      </c>
      <c r="J167" s="44"/>
      <c r="K167" s="251" t="s">
        <v>203</v>
      </c>
      <c r="L167" s="85" t="str">
        <f>$T$23</f>
        <v>FracLEACH</v>
      </c>
      <c r="M167" s="85">
        <f>$U$23</f>
        <v>0.24</v>
      </c>
      <c r="N167" s="186"/>
      <c r="Q167" s="96" t="s">
        <v>136</v>
      </c>
      <c r="R167" s="85"/>
      <c r="S167" s="85"/>
      <c r="T167" s="85"/>
      <c r="U167" s="85"/>
      <c r="V167" s="186" t="s">
        <v>210</v>
      </c>
      <c r="W167" s="44"/>
      <c r="X167" s="44"/>
      <c r="Y167" s="44"/>
      <c r="Z167" s="48"/>
      <c r="AA167" s="302"/>
      <c r="AC167" s="483"/>
      <c r="AG167" s="96" t="s">
        <v>200</v>
      </c>
      <c r="AH167" s="85" t="s">
        <v>10</v>
      </c>
      <c r="AI167" s="198">
        <f>AH150*AO167/100</f>
        <v>0</v>
      </c>
      <c r="AJ167" s="44"/>
      <c r="AK167" s="85" t="s">
        <v>201</v>
      </c>
      <c r="AL167" s="44"/>
      <c r="AM167" s="251" t="s">
        <v>203</v>
      </c>
      <c r="AN167" s="85" t="str">
        <f>$T$23</f>
        <v>FracLEACH</v>
      </c>
      <c r="AO167" s="85">
        <f>$U$23</f>
        <v>0.24</v>
      </c>
      <c r="AP167" s="186"/>
      <c r="AS167" s="96" t="s">
        <v>136</v>
      </c>
      <c r="AT167" s="85"/>
      <c r="AU167" s="85"/>
      <c r="AV167" s="85"/>
      <c r="AW167" s="85"/>
      <c r="AX167" s="186" t="s">
        <v>210</v>
      </c>
      <c r="AY167" s="44"/>
      <c r="AZ167" s="44"/>
      <c r="BA167" s="44"/>
      <c r="BB167" s="48"/>
      <c r="BC167" s="483"/>
    </row>
    <row r="168" spans="1:55" x14ac:dyDescent="0.25">
      <c r="A168" s="302"/>
      <c r="E168" s="66"/>
      <c r="F168" s="85"/>
      <c r="G168" s="176"/>
      <c r="H168" s="44"/>
      <c r="I168" s="85"/>
      <c r="J168" s="44"/>
      <c r="K168" s="251" t="s">
        <v>203</v>
      </c>
      <c r="L168" s="24"/>
      <c r="M168" s="24"/>
      <c r="N168" s="196"/>
      <c r="Q168" s="96" t="s">
        <v>375</v>
      </c>
      <c r="R168" s="85" t="s">
        <v>10</v>
      </c>
      <c r="S168" s="176">
        <f>(S163*X147/100)</f>
        <v>0</v>
      </c>
      <c r="T168" s="212" t="s">
        <v>561</v>
      </c>
      <c r="U168" s="212" t="s">
        <v>379</v>
      </c>
      <c r="V168" s="186" t="s">
        <v>210</v>
      </c>
      <c r="W168" s="44"/>
      <c r="X168" s="44"/>
      <c r="Y168" s="44"/>
      <c r="Z168" s="44"/>
      <c r="AA168" s="302"/>
      <c r="AC168" s="483"/>
      <c r="AG168" s="66"/>
      <c r="AH168" s="85"/>
      <c r="AI168" s="176"/>
      <c r="AJ168" s="44"/>
      <c r="AK168" s="85"/>
      <c r="AL168" s="44"/>
      <c r="AM168" s="251" t="s">
        <v>203</v>
      </c>
      <c r="AN168" s="24"/>
      <c r="AO168" s="24"/>
      <c r="AP168" s="196"/>
      <c r="AS168" s="96" t="s">
        <v>375</v>
      </c>
      <c r="AT168" s="85" t="s">
        <v>10</v>
      </c>
      <c r="AU168" s="176">
        <f>(AU163*AZ147/100)</f>
        <v>0</v>
      </c>
      <c r="AV168" s="212" t="s">
        <v>561</v>
      </c>
      <c r="AW168" s="212" t="s">
        <v>379</v>
      </c>
      <c r="AX168" s="186" t="s">
        <v>210</v>
      </c>
      <c r="AY168" s="44"/>
      <c r="AZ168" s="44"/>
      <c r="BA168" s="44"/>
      <c r="BB168" s="44"/>
      <c r="BC168" s="483"/>
    </row>
    <row r="169" spans="1:55" x14ac:dyDescent="0.25">
      <c r="A169" s="302"/>
      <c r="E169" s="96" t="s">
        <v>89</v>
      </c>
      <c r="F169" s="85"/>
      <c r="G169" s="176"/>
      <c r="H169" s="44"/>
      <c r="I169" s="85"/>
      <c r="J169" s="44"/>
      <c r="K169" s="251"/>
      <c r="L169" s="85"/>
      <c r="M169" s="85"/>
      <c r="N169" s="85"/>
      <c r="O169" s="44"/>
      <c r="Q169" s="96" t="s">
        <v>373</v>
      </c>
      <c r="R169" s="85" t="s">
        <v>10</v>
      </c>
      <c r="S169" s="176">
        <f>(S165*Y152/100)*0.35</f>
        <v>9.4875779216772135E-2</v>
      </c>
      <c r="T169" s="212" t="s">
        <v>141</v>
      </c>
      <c r="U169" s="212" t="s">
        <v>143</v>
      </c>
      <c r="V169" s="184" t="s">
        <v>210</v>
      </c>
      <c r="W169" s="85"/>
      <c r="X169" s="85"/>
      <c r="Y169" s="85"/>
      <c r="Z169" s="44"/>
      <c r="AA169" s="302"/>
      <c r="AC169" s="483"/>
      <c r="AG169" s="96" t="s">
        <v>89</v>
      </c>
      <c r="AH169" s="85"/>
      <c r="AI169" s="176"/>
      <c r="AJ169" s="44"/>
      <c r="AK169" s="85"/>
      <c r="AL169" s="44"/>
      <c r="AM169" s="251"/>
      <c r="AN169" s="85"/>
      <c r="AO169" s="85"/>
      <c r="AP169" s="85"/>
      <c r="AQ169" s="44"/>
      <c r="AS169" s="96" t="s">
        <v>373</v>
      </c>
      <c r="AT169" s="85" t="s">
        <v>10</v>
      </c>
      <c r="AU169" s="176">
        <f>(AU165*BA152/100)*0.35</f>
        <v>7.1550097499999993E-2</v>
      </c>
      <c r="AV169" s="212" t="s">
        <v>141</v>
      </c>
      <c r="AW169" s="212" t="s">
        <v>143</v>
      </c>
      <c r="AX169" s="184" t="s">
        <v>210</v>
      </c>
      <c r="AY169" s="85"/>
      <c r="AZ169" s="85"/>
      <c r="BA169" s="85"/>
      <c r="BB169" s="44"/>
      <c r="BC169" s="483"/>
    </row>
    <row r="170" spans="1:55" x14ac:dyDescent="0.25">
      <c r="A170" s="302"/>
      <c r="E170" s="97" t="s">
        <v>236</v>
      </c>
      <c r="F170" s="85"/>
      <c r="G170" s="176"/>
      <c r="H170" s="44"/>
      <c r="I170" s="85"/>
      <c r="J170" s="116"/>
      <c r="K170" s="252"/>
      <c r="L170" s="85"/>
      <c r="M170" s="85"/>
      <c r="N170" s="85"/>
      <c r="O170" s="44"/>
      <c r="Q170" s="97" t="s">
        <v>376</v>
      </c>
      <c r="R170" s="84" t="s">
        <v>10</v>
      </c>
      <c r="S170" s="456" t="e">
        <f>S164*X148/100</f>
        <v>#N/A</v>
      </c>
      <c r="T170" s="458" t="s">
        <v>562</v>
      </c>
      <c r="U170" s="212" t="s">
        <v>380</v>
      </c>
      <c r="V170" s="184" t="s">
        <v>210</v>
      </c>
      <c r="W170" s="85"/>
      <c r="X170" s="85"/>
      <c r="Y170" s="85"/>
      <c r="Z170" s="44"/>
      <c r="AA170" s="302"/>
      <c r="AC170" s="483"/>
      <c r="AG170" s="97" t="s">
        <v>236</v>
      </c>
      <c r="AH170" s="85"/>
      <c r="AI170" s="176"/>
      <c r="AJ170" s="44"/>
      <c r="AK170" s="85"/>
      <c r="AL170" s="116"/>
      <c r="AM170" s="252"/>
      <c r="AN170" s="85"/>
      <c r="AO170" s="85"/>
      <c r="AP170" s="85"/>
      <c r="AQ170" s="44"/>
      <c r="AS170" s="97" t="s">
        <v>376</v>
      </c>
      <c r="AT170" s="84" t="s">
        <v>10</v>
      </c>
      <c r="AU170" s="456" t="e">
        <f>AU164*AZ148/100</f>
        <v>#N/A</v>
      </c>
      <c r="AV170" s="458" t="s">
        <v>562</v>
      </c>
      <c r="AW170" s="212" t="s">
        <v>380</v>
      </c>
      <c r="AX170" s="184" t="s">
        <v>210</v>
      </c>
      <c r="AY170" s="85"/>
      <c r="AZ170" s="85"/>
      <c r="BA170" s="85"/>
      <c r="BB170" s="44"/>
      <c r="BC170" s="483"/>
    </row>
    <row r="171" spans="1:55" x14ac:dyDescent="0.25">
      <c r="A171" s="302"/>
      <c r="E171" s="97" t="s">
        <v>107</v>
      </c>
      <c r="F171" s="85" t="s">
        <v>10</v>
      </c>
      <c r="G171" s="282" t="e">
        <f>(F153+F154)*M147/100</f>
        <v>#N/A</v>
      </c>
      <c r="H171" s="44"/>
      <c r="I171" s="85"/>
      <c r="J171" s="116"/>
      <c r="K171" s="252"/>
      <c r="L171" s="85"/>
      <c r="M171" s="85"/>
      <c r="N171" s="85"/>
      <c r="O171" s="44"/>
      <c r="Q171" s="97" t="s">
        <v>544</v>
      </c>
      <c r="R171" s="84" t="s">
        <v>10</v>
      </c>
      <c r="S171" s="432" t="e">
        <f>S164*X148/100*(1+X150*C156)</f>
        <v>#N/A</v>
      </c>
      <c r="T171" s="458" t="s">
        <v>565</v>
      </c>
      <c r="U171" s="212" t="s">
        <v>380</v>
      </c>
      <c r="V171" s="184" t="s">
        <v>210</v>
      </c>
      <c r="W171" s="44"/>
      <c r="X171" s="44"/>
      <c r="Y171" s="44"/>
      <c r="Z171" s="44"/>
      <c r="AA171" s="302"/>
      <c r="AC171" s="483"/>
      <c r="AG171" s="97" t="s">
        <v>107</v>
      </c>
      <c r="AH171" s="85" t="s">
        <v>10</v>
      </c>
      <c r="AI171" s="282" t="e">
        <f>(AH153+AH154)*AO147/100</f>
        <v>#N/A</v>
      </c>
      <c r="AJ171" s="44"/>
      <c r="AK171" s="85"/>
      <c r="AL171" s="116"/>
      <c r="AM171" s="252"/>
      <c r="AN171" s="85"/>
      <c r="AO171" s="85"/>
      <c r="AP171" s="85"/>
      <c r="AQ171" s="44"/>
      <c r="AS171" s="97" t="s">
        <v>544</v>
      </c>
      <c r="AT171" s="84" t="s">
        <v>10</v>
      </c>
      <c r="AU171" s="432" t="e">
        <f>AU164*AZ148/100*(1+AZ150*AE156)</f>
        <v>#N/A</v>
      </c>
      <c r="AV171" s="458" t="s">
        <v>565</v>
      </c>
      <c r="AW171" s="212" t="s">
        <v>380</v>
      </c>
      <c r="AX171" s="184" t="s">
        <v>210</v>
      </c>
      <c r="AY171" s="44"/>
      <c r="AZ171" s="44"/>
      <c r="BA171" s="44"/>
      <c r="BB171" s="44"/>
      <c r="BC171" s="483"/>
    </row>
    <row r="172" spans="1:55" x14ac:dyDescent="0.25">
      <c r="A172" s="302"/>
      <c r="E172" s="97" t="s">
        <v>108</v>
      </c>
      <c r="F172" s="85" t="s">
        <v>10</v>
      </c>
      <c r="G172" s="282">
        <f>(G153+G154)*N147/100</f>
        <v>0</v>
      </c>
      <c r="H172" s="44"/>
      <c r="I172" s="85"/>
      <c r="J172" s="116"/>
      <c r="K172" s="252"/>
      <c r="L172" s="85"/>
      <c r="M172" s="85"/>
      <c r="N172" s="85"/>
      <c r="O172" s="44"/>
      <c r="Q172" s="96" t="s">
        <v>374</v>
      </c>
      <c r="R172" s="85" t="s">
        <v>10</v>
      </c>
      <c r="S172" s="198">
        <f>(S165*Y154/100)*0.35</f>
        <v>0.28462733765031639</v>
      </c>
      <c r="T172" s="212" t="s">
        <v>142</v>
      </c>
      <c r="U172" s="212" t="s">
        <v>144</v>
      </c>
      <c r="V172" s="184" t="s">
        <v>210</v>
      </c>
      <c r="W172" s="44"/>
      <c r="X172" s="44"/>
      <c r="Y172" s="44"/>
      <c r="Z172" s="44"/>
      <c r="AA172" s="302"/>
      <c r="AC172" s="483"/>
      <c r="AG172" s="97" t="s">
        <v>108</v>
      </c>
      <c r="AH172" s="85" t="s">
        <v>10</v>
      </c>
      <c r="AI172" s="282">
        <f>(AI153+AI154)*AP147/100</f>
        <v>0</v>
      </c>
      <c r="AJ172" s="44"/>
      <c r="AK172" s="85"/>
      <c r="AL172" s="116"/>
      <c r="AM172" s="252"/>
      <c r="AN172" s="85"/>
      <c r="AO172" s="85"/>
      <c r="AP172" s="85"/>
      <c r="AQ172" s="44"/>
      <c r="AS172" s="96" t="s">
        <v>374</v>
      </c>
      <c r="AT172" s="85" t="s">
        <v>10</v>
      </c>
      <c r="AU172" s="198">
        <f>(AU165*BA154/100)*0.35</f>
        <v>0.21465029249999998</v>
      </c>
      <c r="AV172" s="212" t="s">
        <v>142</v>
      </c>
      <c r="AW172" s="212" t="s">
        <v>144</v>
      </c>
      <c r="AX172" s="184" t="s">
        <v>210</v>
      </c>
      <c r="AY172" s="44"/>
      <c r="AZ172" s="44"/>
      <c r="BA172" s="44"/>
      <c r="BB172" s="44"/>
      <c r="BC172" s="483"/>
    </row>
    <row r="173" spans="1:55" x14ac:dyDescent="0.25">
      <c r="A173" s="302"/>
      <c r="E173" s="97" t="s">
        <v>109</v>
      </c>
      <c r="F173" s="85" t="s">
        <v>10</v>
      </c>
      <c r="G173" s="197" t="e">
        <f>F155*M149/100</f>
        <v>#N/A</v>
      </c>
      <c r="H173" s="44"/>
      <c r="I173" s="85"/>
      <c r="J173" s="116"/>
      <c r="K173" s="252"/>
      <c r="L173" s="85"/>
      <c r="M173" s="85"/>
      <c r="N173" s="85"/>
      <c r="O173" s="44"/>
      <c r="Q173" s="97" t="s">
        <v>383</v>
      </c>
      <c r="R173" s="85"/>
      <c r="S173" s="85"/>
      <c r="T173" s="85"/>
      <c r="U173" s="85"/>
      <c r="V173" s="186" t="s">
        <v>210</v>
      </c>
      <c r="W173" s="44"/>
      <c r="X173" s="44"/>
      <c r="Y173" s="44"/>
      <c r="Z173" s="44"/>
      <c r="AA173" s="302"/>
      <c r="AC173" s="483"/>
      <c r="AG173" s="97" t="s">
        <v>109</v>
      </c>
      <c r="AH173" s="85" t="s">
        <v>10</v>
      </c>
      <c r="AI173" s="197" t="e">
        <f>AH155*AO149/100</f>
        <v>#N/A</v>
      </c>
      <c r="AJ173" s="44"/>
      <c r="AK173" s="85"/>
      <c r="AL173" s="116"/>
      <c r="AM173" s="252"/>
      <c r="AN173" s="85"/>
      <c r="AO173" s="85"/>
      <c r="AP173" s="85"/>
      <c r="AQ173" s="44"/>
      <c r="AS173" s="97" t="s">
        <v>383</v>
      </c>
      <c r="AT173" s="85"/>
      <c r="AU173" s="85"/>
      <c r="AV173" s="85"/>
      <c r="AW173" s="85"/>
      <c r="AX173" s="186" t="s">
        <v>210</v>
      </c>
      <c r="AY173" s="44"/>
      <c r="AZ173" s="44"/>
      <c r="BA173" s="44"/>
      <c r="BB173" s="44"/>
      <c r="BC173" s="483"/>
    </row>
    <row r="174" spans="1:55" x14ac:dyDescent="0.25">
      <c r="A174" s="302"/>
      <c r="E174" s="97" t="s">
        <v>110</v>
      </c>
      <c r="F174" s="85" t="s">
        <v>10</v>
      </c>
      <c r="G174" s="197">
        <f>(G153)*N148/100</f>
        <v>0</v>
      </c>
      <c r="H174" s="44"/>
      <c r="I174" s="85"/>
      <c r="J174" s="116"/>
      <c r="K174" s="252"/>
      <c r="L174" s="85"/>
      <c r="M174" s="85"/>
      <c r="N174" s="85"/>
      <c r="O174" s="44"/>
      <c r="Q174" s="96" t="s">
        <v>12</v>
      </c>
      <c r="R174" s="84" t="s">
        <v>13</v>
      </c>
      <c r="S174" s="182">
        <f>SUM(S168:S169)*(44/28)*$U$13</f>
        <v>40.701709283995243</v>
      </c>
      <c r="T174" s="85"/>
      <c r="U174" s="85"/>
      <c r="V174" s="186" t="s">
        <v>210</v>
      </c>
      <c r="AA174" s="302"/>
      <c r="AC174" s="483"/>
      <c r="AG174" s="97" t="s">
        <v>110</v>
      </c>
      <c r="AH174" s="85" t="s">
        <v>10</v>
      </c>
      <c r="AI174" s="197">
        <f>(AI153)*AP148/100</f>
        <v>0</v>
      </c>
      <c r="AJ174" s="44"/>
      <c r="AK174" s="85"/>
      <c r="AL174" s="116"/>
      <c r="AM174" s="252"/>
      <c r="AN174" s="85"/>
      <c r="AO174" s="85"/>
      <c r="AP174" s="85"/>
      <c r="AQ174" s="44"/>
      <c r="AS174" s="96" t="s">
        <v>12</v>
      </c>
      <c r="AT174" s="84" t="s">
        <v>13</v>
      </c>
      <c r="AU174" s="182">
        <f>SUM(AU168:AU169)*(44/28)*$U$13</f>
        <v>30.694991827499994</v>
      </c>
      <c r="AV174" s="85"/>
      <c r="AW174" s="85"/>
      <c r="AX174" s="186" t="s">
        <v>210</v>
      </c>
      <c r="BC174" s="483"/>
    </row>
    <row r="175" spans="1:55" x14ac:dyDescent="0.25">
      <c r="A175" s="302"/>
      <c r="E175" s="96" t="s">
        <v>237</v>
      </c>
      <c r="F175" s="85"/>
      <c r="G175" s="176"/>
      <c r="H175" s="44"/>
      <c r="I175" s="85"/>
      <c r="J175" s="44"/>
      <c r="K175" s="251"/>
      <c r="L175" s="85"/>
      <c r="M175" s="85"/>
      <c r="N175" s="85"/>
      <c r="O175" s="44"/>
      <c r="Q175" s="96" t="s">
        <v>14</v>
      </c>
      <c r="R175" s="84" t="s">
        <v>13</v>
      </c>
      <c r="S175" s="176" t="e">
        <f>SUM(S170,S172)*(44/28)*X159*$U$13</f>
        <v>#N/A</v>
      </c>
      <c r="T175" s="85"/>
      <c r="U175" s="85"/>
      <c r="V175" s="186"/>
      <c r="AA175" s="302"/>
      <c r="AC175" s="483"/>
      <c r="AG175" s="96" t="s">
        <v>237</v>
      </c>
      <c r="AH175" s="85"/>
      <c r="AI175" s="176"/>
      <c r="AJ175" s="44"/>
      <c r="AK175" s="85"/>
      <c r="AL175" s="44"/>
      <c r="AM175" s="251"/>
      <c r="AN175" s="85"/>
      <c r="AO175" s="85"/>
      <c r="AP175" s="85"/>
      <c r="AQ175" s="44"/>
      <c r="AS175" s="96" t="s">
        <v>14</v>
      </c>
      <c r="AT175" s="84" t="s">
        <v>13</v>
      </c>
      <c r="AU175" s="176" t="e">
        <f>SUM(AU170,AU172)*(44/28)*AZ159*$U$13</f>
        <v>#N/A</v>
      </c>
      <c r="AV175" s="85"/>
      <c r="AW175" s="85"/>
      <c r="AX175" s="186"/>
      <c r="BC175" s="483"/>
    </row>
    <row r="176" spans="1:55" x14ac:dyDescent="0.25">
      <c r="A176" s="302"/>
      <c r="E176" s="97" t="s">
        <v>107</v>
      </c>
      <c r="F176" s="85" t="s">
        <v>10</v>
      </c>
      <c r="G176" s="197" t="e">
        <f>((F158)+(F159*C154/365))*M151/100</f>
        <v>#N/A</v>
      </c>
      <c r="H176" s="44"/>
      <c r="I176" s="85" t="s">
        <v>111</v>
      </c>
      <c r="J176" s="114" t="s">
        <v>11</v>
      </c>
      <c r="K176" s="252" t="s">
        <v>203</v>
      </c>
      <c r="L176" s="85"/>
      <c r="M176" s="85"/>
      <c r="N176" s="85"/>
      <c r="O176" s="44"/>
      <c r="Q176" s="96" t="s">
        <v>545</v>
      </c>
      <c r="R176" s="84" t="s">
        <v>13</v>
      </c>
      <c r="S176" s="258" t="e">
        <f>SUM(S171,S172)*(44/28)*X159*$U$13</f>
        <v>#N/A</v>
      </c>
      <c r="T176" s="85"/>
      <c r="U176" s="85"/>
      <c r="V176" s="186"/>
      <c r="AA176" s="302"/>
      <c r="AC176" s="483"/>
      <c r="AG176" s="97" t="s">
        <v>107</v>
      </c>
      <c r="AH176" s="85" t="s">
        <v>10</v>
      </c>
      <c r="AI176" s="197" t="e">
        <f>((AH158)+(AH159*AE154/365))*AO151/100</f>
        <v>#N/A</v>
      </c>
      <c r="AJ176" s="44"/>
      <c r="AK176" s="85" t="s">
        <v>111</v>
      </c>
      <c r="AL176" s="114" t="s">
        <v>11</v>
      </c>
      <c r="AM176" s="252" t="s">
        <v>203</v>
      </c>
      <c r="AN176" s="85"/>
      <c r="AO176" s="85"/>
      <c r="AP176" s="85"/>
      <c r="AQ176" s="44"/>
      <c r="AS176" s="96" t="s">
        <v>545</v>
      </c>
      <c r="AT176" s="84" t="s">
        <v>13</v>
      </c>
      <c r="AU176" s="258" t="e">
        <f>SUM(AU171,AU172)*(44/28)*AZ159*$U$13</f>
        <v>#N/A</v>
      </c>
      <c r="AV176" s="85"/>
      <c r="AW176" s="85"/>
      <c r="AX176" s="186"/>
      <c r="BC176" s="483"/>
    </row>
    <row r="177" spans="1:55" x14ac:dyDescent="0.25">
      <c r="A177" s="302"/>
      <c r="E177" s="97" t="s">
        <v>108</v>
      </c>
      <c r="F177" s="85" t="s">
        <v>10</v>
      </c>
      <c r="G177" s="197">
        <f>((G158)+(G159*C154/365))*N151/100</f>
        <v>0.2899758386075949</v>
      </c>
      <c r="H177" s="44"/>
      <c r="I177" s="85" t="s">
        <v>140</v>
      </c>
      <c r="J177" s="116"/>
      <c r="K177" s="251" t="s">
        <v>203</v>
      </c>
      <c r="L177" s="85"/>
      <c r="M177" s="85"/>
      <c r="N177" s="85"/>
      <c r="O177" s="44"/>
      <c r="Q177" s="122"/>
      <c r="R177" s="98"/>
      <c r="S177" s="199"/>
      <c r="T177" s="101"/>
      <c r="U177" s="101"/>
      <c r="V177" s="196" t="s">
        <v>210</v>
      </c>
      <c r="AA177" s="302"/>
      <c r="AC177" s="483"/>
      <c r="AG177" s="97" t="s">
        <v>108</v>
      </c>
      <c r="AH177" s="85" t="s">
        <v>10</v>
      </c>
      <c r="AI177" s="197">
        <f>((AI158)+(AI159*AE154/365))*AP151/100</f>
        <v>0.218615</v>
      </c>
      <c r="AJ177" s="44"/>
      <c r="AK177" s="85" t="s">
        <v>140</v>
      </c>
      <c r="AL177" s="116"/>
      <c r="AM177" s="251" t="s">
        <v>203</v>
      </c>
      <c r="AN177" s="85"/>
      <c r="AO177" s="85"/>
      <c r="AP177" s="85"/>
      <c r="AQ177" s="44"/>
      <c r="AS177" s="122"/>
      <c r="AT177" s="98"/>
      <c r="AU177" s="199"/>
      <c r="AV177" s="101"/>
      <c r="AW177" s="101"/>
      <c r="AX177" s="196" t="s">
        <v>210</v>
      </c>
      <c r="BC177" s="483"/>
    </row>
    <row r="178" spans="1:55" x14ac:dyDescent="0.25">
      <c r="A178" s="302"/>
      <c r="E178" s="97" t="s">
        <v>109</v>
      </c>
      <c r="F178" s="85" t="s">
        <v>10</v>
      </c>
      <c r="G178" s="197" t="e">
        <f>F160*M153/100</f>
        <v>#N/A</v>
      </c>
      <c r="H178" s="44"/>
      <c r="I178" s="85" t="s">
        <v>112</v>
      </c>
      <c r="J178" s="114" t="s">
        <v>90</v>
      </c>
      <c r="K178" s="252" t="s">
        <v>203</v>
      </c>
      <c r="L178" s="85"/>
      <c r="M178" s="85"/>
      <c r="N178" s="85"/>
      <c r="O178" s="44"/>
      <c r="AA178" s="302"/>
      <c r="AC178" s="483"/>
      <c r="AG178" s="97" t="s">
        <v>109</v>
      </c>
      <c r="AH178" s="85" t="s">
        <v>10</v>
      </c>
      <c r="AI178" s="197" t="e">
        <f>AH160*AO153/100</f>
        <v>#N/A</v>
      </c>
      <c r="AJ178" s="44"/>
      <c r="AK178" s="85" t="s">
        <v>112</v>
      </c>
      <c r="AL178" s="114" t="s">
        <v>90</v>
      </c>
      <c r="AM178" s="252" t="s">
        <v>203</v>
      </c>
      <c r="AN178" s="85"/>
      <c r="AO178" s="85"/>
      <c r="AP178" s="85"/>
      <c r="AQ178" s="44"/>
      <c r="BC178" s="483"/>
    </row>
    <row r="179" spans="1:55" x14ac:dyDescent="0.25">
      <c r="A179" s="302"/>
      <c r="E179" s="97" t="s">
        <v>110</v>
      </c>
      <c r="F179" s="85" t="s">
        <v>10</v>
      </c>
      <c r="G179" s="197">
        <f>(G158)*N152/100</f>
        <v>1.6002425316455693</v>
      </c>
      <c r="H179" s="44"/>
      <c r="I179" s="44"/>
      <c r="J179" s="116"/>
      <c r="K179" s="252" t="s">
        <v>203</v>
      </c>
      <c r="L179" s="85"/>
      <c r="M179" s="85"/>
      <c r="N179" s="85"/>
      <c r="O179" s="44"/>
      <c r="AA179" s="302"/>
      <c r="AC179" s="483"/>
      <c r="AG179" s="97" t="s">
        <v>110</v>
      </c>
      <c r="AH179" s="85" t="s">
        <v>10</v>
      </c>
      <c r="AI179" s="197">
        <f>(AI158)*AP152/100</f>
        <v>1.2</v>
      </c>
      <c r="AJ179" s="44"/>
      <c r="AK179" s="44"/>
      <c r="AL179" s="116"/>
      <c r="AM179" s="252" t="s">
        <v>203</v>
      </c>
      <c r="AN179" s="85"/>
      <c r="AO179" s="85"/>
      <c r="AP179" s="85"/>
      <c r="AQ179" s="44"/>
      <c r="BC179" s="483"/>
    </row>
    <row r="180" spans="1:55" x14ac:dyDescent="0.25">
      <c r="A180" s="302"/>
      <c r="E180" s="97"/>
      <c r="F180" s="85"/>
      <c r="G180" s="176"/>
      <c r="H180" s="44"/>
      <c r="I180" s="85"/>
      <c r="J180" s="116"/>
      <c r="K180" s="252"/>
      <c r="L180" s="44"/>
      <c r="M180" s="44"/>
      <c r="N180" s="44"/>
      <c r="O180" s="44"/>
      <c r="V180" s="56" t="s">
        <v>210</v>
      </c>
      <c r="AA180" s="302"/>
      <c r="AC180" s="483"/>
      <c r="AG180" s="97"/>
      <c r="AH180" s="85"/>
      <c r="AI180" s="176"/>
      <c r="AJ180" s="44"/>
      <c r="AK180" s="85"/>
      <c r="AL180" s="116"/>
      <c r="AM180" s="252"/>
      <c r="AN180" s="44"/>
      <c r="AO180" s="44"/>
      <c r="AP180" s="44"/>
      <c r="AQ180" s="44"/>
      <c r="AX180" s="56" t="s">
        <v>210</v>
      </c>
      <c r="BC180" s="483"/>
    </row>
    <row r="181" spans="1:55" x14ac:dyDescent="0.25">
      <c r="A181" s="302"/>
      <c r="E181" s="97" t="s">
        <v>239</v>
      </c>
      <c r="F181" s="85" t="s">
        <v>10</v>
      </c>
      <c r="G181" s="176">
        <f>_xlfn.AGGREGATE(9,6,G171,G172,G176,G177)</f>
        <v>0.2899758386075949</v>
      </c>
      <c r="H181" s="44"/>
      <c r="I181" s="85" t="s">
        <v>113</v>
      </c>
      <c r="J181" s="100"/>
      <c r="K181" s="252" t="s">
        <v>203</v>
      </c>
      <c r="L181" s="44"/>
      <c r="M181" s="44"/>
      <c r="N181" s="44"/>
      <c r="O181" s="44"/>
      <c r="V181" s="56" t="s">
        <v>210</v>
      </c>
      <c r="AA181" s="302"/>
      <c r="AC181" s="483"/>
      <c r="AG181" s="97" t="s">
        <v>239</v>
      </c>
      <c r="AH181" s="85" t="s">
        <v>10</v>
      </c>
      <c r="AI181" s="176">
        <f>_xlfn.AGGREGATE(9,6,AI171,AI172,AI176,AI177)</f>
        <v>0.218615</v>
      </c>
      <c r="AJ181" s="44"/>
      <c r="AK181" s="85" t="s">
        <v>113</v>
      </c>
      <c r="AL181" s="100"/>
      <c r="AM181" s="252" t="s">
        <v>203</v>
      </c>
      <c r="AN181" s="44"/>
      <c r="AO181" s="44"/>
      <c r="AP181" s="44"/>
      <c r="AQ181" s="44"/>
      <c r="AX181" s="56" t="s">
        <v>210</v>
      </c>
      <c r="BC181" s="483"/>
    </row>
    <row r="182" spans="1:55" x14ac:dyDescent="0.25">
      <c r="A182" s="302"/>
      <c r="E182" s="97" t="s">
        <v>240</v>
      </c>
      <c r="F182" s="85" t="s">
        <v>10</v>
      </c>
      <c r="G182" s="176">
        <f>_xlfn.AGGREGATE(9,6,G173,G174,G178,G179)</f>
        <v>1.6002425316455693</v>
      </c>
      <c r="H182" s="44"/>
      <c r="I182" s="85" t="s">
        <v>114</v>
      </c>
      <c r="J182" s="100"/>
      <c r="K182" s="252" t="s">
        <v>203</v>
      </c>
      <c r="L182" s="85"/>
      <c r="M182" s="85"/>
      <c r="N182" s="85"/>
      <c r="O182" s="44"/>
      <c r="V182" s="56" t="s">
        <v>210</v>
      </c>
      <c r="AA182" s="302"/>
      <c r="AC182" s="483"/>
      <c r="AG182" s="97" t="s">
        <v>240</v>
      </c>
      <c r="AH182" s="85" t="s">
        <v>10</v>
      </c>
      <c r="AI182" s="176">
        <f>_xlfn.AGGREGATE(9,6,AI173,AI174,AI178,AI179)</f>
        <v>1.2</v>
      </c>
      <c r="AJ182" s="44"/>
      <c r="AK182" s="85" t="s">
        <v>114</v>
      </c>
      <c r="AL182" s="100"/>
      <c r="AM182" s="252" t="s">
        <v>203</v>
      </c>
      <c r="AN182" s="85"/>
      <c r="AO182" s="85"/>
      <c r="AP182" s="85"/>
      <c r="AQ182" s="44"/>
      <c r="AX182" s="56" t="s">
        <v>210</v>
      </c>
      <c r="BC182" s="483"/>
    </row>
    <row r="183" spans="1:55" x14ac:dyDescent="0.25">
      <c r="A183" s="302"/>
      <c r="E183" s="97"/>
      <c r="F183" s="85"/>
      <c r="G183" s="85"/>
      <c r="H183" s="44"/>
      <c r="I183" s="85"/>
      <c r="J183" s="100"/>
      <c r="K183" s="252" t="s">
        <v>203</v>
      </c>
      <c r="L183" s="44"/>
      <c r="M183" s="44"/>
      <c r="N183" s="85"/>
      <c r="O183" s="44"/>
      <c r="V183" s="56" t="s">
        <v>210</v>
      </c>
      <c r="AA183" s="302"/>
      <c r="AC183" s="483"/>
      <c r="AG183" s="97"/>
      <c r="AH183" s="85"/>
      <c r="AI183" s="85"/>
      <c r="AJ183" s="44"/>
      <c r="AK183" s="85"/>
      <c r="AL183" s="100"/>
      <c r="AM183" s="252" t="s">
        <v>203</v>
      </c>
      <c r="AN183" s="44"/>
      <c r="AO183" s="44"/>
      <c r="AP183" s="85"/>
      <c r="AQ183" s="44"/>
      <c r="AX183" s="56" t="s">
        <v>210</v>
      </c>
      <c r="BC183" s="483"/>
    </row>
    <row r="184" spans="1:55" x14ac:dyDescent="0.25">
      <c r="A184" s="302"/>
      <c r="E184" s="97" t="s">
        <v>91</v>
      </c>
      <c r="F184" s="85"/>
      <c r="G184" s="85"/>
      <c r="H184" s="44"/>
      <c r="I184" s="85"/>
      <c r="J184" s="85"/>
      <c r="K184" s="251" t="s">
        <v>203</v>
      </c>
      <c r="L184" s="99"/>
      <c r="M184" s="85"/>
      <c r="N184" s="85"/>
      <c r="O184" s="44"/>
      <c r="V184" s="56" t="s">
        <v>210</v>
      </c>
      <c r="AA184" s="302"/>
      <c r="AC184" s="483"/>
      <c r="AG184" s="97" t="s">
        <v>91</v>
      </c>
      <c r="AH184" s="85"/>
      <c r="AI184" s="85"/>
      <c r="AJ184" s="44"/>
      <c r="AK184" s="85"/>
      <c r="AL184" s="85"/>
      <c r="AM184" s="251" t="s">
        <v>203</v>
      </c>
      <c r="AN184" s="99"/>
      <c r="AO184" s="85"/>
      <c r="AP184" s="85"/>
      <c r="AQ184" s="44"/>
      <c r="AX184" s="56" t="s">
        <v>210</v>
      </c>
      <c r="BC184" s="483"/>
    </row>
    <row r="185" spans="1:55" x14ac:dyDescent="0.25">
      <c r="A185" s="302"/>
      <c r="E185" s="97" t="s">
        <v>190</v>
      </c>
      <c r="F185" s="85" t="s">
        <v>13</v>
      </c>
      <c r="G185" s="176">
        <f>G165*(44/28)*$U$13</f>
        <v>0</v>
      </c>
      <c r="H185" s="44"/>
      <c r="I185" s="85" t="s">
        <v>173</v>
      </c>
      <c r="J185" s="85"/>
      <c r="K185" s="251" t="s">
        <v>203</v>
      </c>
      <c r="L185" s="85"/>
      <c r="M185" s="85"/>
      <c r="N185" s="85"/>
      <c r="O185" s="44"/>
      <c r="V185" s="56" t="s">
        <v>210</v>
      </c>
      <c r="AA185" s="302"/>
      <c r="AC185" s="483"/>
      <c r="AG185" s="97" t="s">
        <v>190</v>
      </c>
      <c r="AH185" s="85" t="s">
        <v>13</v>
      </c>
      <c r="AI185" s="176">
        <f>AI165*(44/28)*$U$13</f>
        <v>0</v>
      </c>
      <c r="AJ185" s="44"/>
      <c r="AK185" s="85" t="s">
        <v>173</v>
      </c>
      <c r="AL185" s="85"/>
      <c r="AM185" s="251" t="s">
        <v>203</v>
      </c>
      <c r="AN185" s="85"/>
      <c r="AO185" s="85"/>
      <c r="AP185" s="85"/>
      <c r="AQ185" s="44"/>
      <c r="AX185" s="56" t="s">
        <v>210</v>
      </c>
      <c r="BC185" s="483"/>
    </row>
    <row r="186" spans="1:55" x14ac:dyDescent="0.25">
      <c r="A186" s="302"/>
      <c r="E186" s="97" t="s">
        <v>189</v>
      </c>
      <c r="F186" s="85" t="s">
        <v>13</v>
      </c>
      <c r="G186" s="182">
        <f>G166*(44/28)*M164*$U$13</f>
        <v>0</v>
      </c>
      <c r="H186" s="44"/>
      <c r="I186" s="85" t="s">
        <v>174</v>
      </c>
      <c r="J186" s="85"/>
      <c r="K186" s="251" t="s">
        <v>203</v>
      </c>
      <c r="L186" s="85"/>
      <c r="M186" s="85"/>
      <c r="N186" s="85"/>
      <c r="O186" s="44"/>
      <c r="V186" s="56" t="s">
        <v>210</v>
      </c>
      <c r="AA186" s="302"/>
      <c r="AC186" s="483"/>
      <c r="AG186" s="97" t="s">
        <v>189</v>
      </c>
      <c r="AH186" s="85" t="s">
        <v>13</v>
      </c>
      <c r="AI186" s="182">
        <f>AI166*(44/28)*AO164*$U$13</f>
        <v>0</v>
      </c>
      <c r="AJ186" s="44"/>
      <c r="AK186" s="85" t="s">
        <v>174</v>
      </c>
      <c r="AL186" s="85"/>
      <c r="AM186" s="251" t="s">
        <v>203</v>
      </c>
      <c r="AN186" s="85"/>
      <c r="AO186" s="85"/>
      <c r="AP186" s="85"/>
      <c r="AQ186" s="44"/>
      <c r="AX186" s="56" t="s">
        <v>210</v>
      </c>
      <c r="BC186" s="483"/>
    </row>
    <row r="187" spans="1:55" x14ac:dyDescent="0.25">
      <c r="A187" s="302"/>
      <c r="E187" s="97" t="s">
        <v>198</v>
      </c>
      <c r="F187" s="85" t="s">
        <v>13</v>
      </c>
      <c r="G187" s="182">
        <f>G167*(44/28)*M166*$U$13</f>
        <v>0</v>
      </c>
      <c r="H187" s="44"/>
      <c r="I187" s="85" t="s">
        <v>199</v>
      </c>
      <c r="J187" s="85"/>
      <c r="K187" s="251" t="s">
        <v>203</v>
      </c>
      <c r="L187" s="85"/>
      <c r="M187" s="85"/>
      <c r="N187" s="85"/>
      <c r="O187" s="44"/>
      <c r="V187" s="56" t="s">
        <v>210</v>
      </c>
      <c r="AA187" s="302"/>
      <c r="AC187" s="483"/>
      <c r="AG187" s="97" t="s">
        <v>198</v>
      </c>
      <c r="AH187" s="85" t="s">
        <v>13</v>
      </c>
      <c r="AI187" s="182">
        <f>AI167*(44/28)*AO166*$U$13</f>
        <v>0</v>
      </c>
      <c r="AJ187" s="44"/>
      <c r="AK187" s="85" t="s">
        <v>199</v>
      </c>
      <c r="AL187" s="85"/>
      <c r="AM187" s="251" t="s">
        <v>203</v>
      </c>
      <c r="AN187" s="85"/>
      <c r="AO187" s="85"/>
      <c r="AP187" s="85"/>
      <c r="AQ187" s="44"/>
      <c r="AX187" s="56" t="s">
        <v>210</v>
      </c>
      <c r="BC187" s="483"/>
    </row>
    <row r="188" spans="1:55" x14ac:dyDescent="0.25">
      <c r="A188" s="302"/>
      <c r="E188" s="66"/>
      <c r="F188" s="44"/>
      <c r="G188" s="44"/>
      <c r="H188" s="44"/>
      <c r="I188" s="44"/>
      <c r="J188" s="44"/>
      <c r="K188" s="251" t="s">
        <v>203</v>
      </c>
      <c r="L188" s="85"/>
      <c r="M188" s="85"/>
      <c r="N188" s="85"/>
      <c r="O188" s="44"/>
      <c r="V188" s="56" t="s">
        <v>210</v>
      </c>
      <c r="AA188" s="302"/>
      <c r="AC188" s="483"/>
      <c r="AG188" s="66"/>
      <c r="AH188" s="44"/>
      <c r="AI188" s="44"/>
      <c r="AJ188" s="44"/>
      <c r="AK188" s="44"/>
      <c r="AL188" s="44"/>
      <c r="AM188" s="251" t="s">
        <v>203</v>
      </c>
      <c r="AN188" s="85"/>
      <c r="AO188" s="85"/>
      <c r="AP188" s="85"/>
      <c r="AQ188" s="44"/>
      <c r="AX188" s="56" t="s">
        <v>210</v>
      </c>
      <c r="BC188" s="483"/>
    </row>
    <row r="189" spans="1:55" x14ac:dyDescent="0.25">
      <c r="A189" s="302"/>
      <c r="E189" s="97" t="s">
        <v>15</v>
      </c>
      <c r="F189" s="85"/>
      <c r="G189" s="85"/>
      <c r="H189" s="44"/>
      <c r="I189" s="85"/>
      <c r="J189" s="85"/>
      <c r="K189" s="65"/>
      <c r="L189" s="85"/>
      <c r="M189" s="85"/>
      <c r="N189" s="85"/>
      <c r="O189" s="44"/>
      <c r="V189" s="56" t="s">
        <v>210</v>
      </c>
      <c r="AA189" s="302"/>
      <c r="AC189" s="483"/>
      <c r="AG189" s="97" t="s">
        <v>15</v>
      </c>
      <c r="AH189" s="85"/>
      <c r="AI189" s="85"/>
      <c r="AJ189" s="44"/>
      <c r="AK189" s="85"/>
      <c r="AL189" s="85"/>
      <c r="AM189" s="65"/>
      <c r="AN189" s="85"/>
      <c r="AO189" s="85"/>
      <c r="AP189" s="85"/>
      <c r="AQ189" s="44"/>
      <c r="AX189" s="56" t="s">
        <v>210</v>
      </c>
      <c r="BC189" s="483"/>
    </row>
    <row r="190" spans="1:55" x14ac:dyDescent="0.25">
      <c r="A190" s="302"/>
      <c r="E190" s="96" t="s">
        <v>186</v>
      </c>
      <c r="F190" s="84" t="s">
        <v>13</v>
      </c>
      <c r="G190" s="182">
        <f>G181*(44/28)*$U$13</f>
        <v>124.39963476265821</v>
      </c>
      <c r="H190" s="44"/>
      <c r="I190" s="85" t="s">
        <v>175</v>
      </c>
      <c r="J190" s="85"/>
      <c r="K190" s="251" t="s">
        <v>203</v>
      </c>
      <c r="L190" s="85"/>
      <c r="M190" s="85"/>
      <c r="N190" s="85"/>
      <c r="O190" s="44"/>
      <c r="AA190" s="302"/>
      <c r="AC190" s="483"/>
      <c r="AG190" s="96" t="s">
        <v>186</v>
      </c>
      <c r="AH190" s="84" t="s">
        <v>13</v>
      </c>
      <c r="AI190" s="182">
        <f>AI181*(44/28)*$U$13</f>
        <v>93.785834999999992</v>
      </c>
      <c r="AJ190" s="44"/>
      <c r="AK190" s="85" t="s">
        <v>175</v>
      </c>
      <c r="AL190" s="85"/>
      <c r="AM190" s="251" t="s">
        <v>203</v>
      </c>
      <c r="AN190" s="85"/>
      <c r="AO190" s="85"/>
      <c r="AP190" s="85"/>
      <c r="AQ190" s="44"/>
      <c r="BC190" s="483"/>
    </row>
    <row r="191" spans="1:55" x14ac:dyDescent="0.25">
      <c r="A191" s="302"/>
      <c r="E191" s="96" t="s">
        <v>187</v>
      </c>
      <c r="F191" s="84" t="s">
        <v>13</v>
      </c>
      <c r="G191" s="182">
        <f>G182*(44/28)*M164*$U$13</f>
        <v>6.8650404607594924</v>
      </c>
      <c r="H191" s="44"/>
      <c r="I191" s="85" t="s">
        <v>176</v>
      </c>
      <c r="J191" s="85"/>
      <c r="K191" s="251" t="s">
        <v>203</v>
      </c>
      <c r="L191" s="195"/>
      <c r="M191" s="195"/>
      <c r="N191" s="195"/>
      <c r="AA191" s="302"/>
      <c r="AC191" s="483"/>
      <c r="AG191" s="96" t="s">
        <v>187</v>
      </c>
      <c r="AH191" s="84" t="s">
        <v>13</v>
      </c>
      <c r="AI191" s="182">
        <f>AI182*(44/28)*AO164*$U$13</f>
        <v>5.1479999999999997</v>
      </c>
      <c r="AJ191" s="44"/>
      <c r="AK191" s="85" t="s">
        <v>176</v>
      </c>
      <c r="AL191" s="85"/>
      <c r="AM191" s="251" t="s">
        <v>203</v>
      </c>
      <c r="AN191" s="195"/>
      <c r="AO191" s="195"/>
      <c r="AP191" s="195"/>
      <c r="BC191" s="483"/>
    </row>
    <row r="192" spans="1:55" x14ac:dyDescent="0.25">
      <c r="A192" s="302"/>
      <c r="E192" s="96"/>
      <c r="F192" s="84"/>
      <c r="G192" s="182"/>
      <c r="H192" s="44"/>
      <c r="I192" s="85"/>
      <c r="J192" s="85"/>
      <c r="K192" s="251" t="s">
        <v>203</v>
      </c>
      <c r="L192" s="195"/>
      <c r="M192" s="195"/>
      <c r="N192" s="195"/>
      <c r="AA192" s="302"/>
      <c r="AC192" s="483"/>
      <c r="AG192" s="96"/>
      <c r="AH192" s="84"/>
      <c r="AI192" s="182"/>
      <c r="AJ192" s="44"/>
      <c r="AK192" s="85"/>
      <c r="AL192" s="85"/>
      <c r="AM192" s="251" t="s">
        <v>203</v>
      </c>
      <c r="AN192" s="195"/>
      <c r="AO192" s="195"/>
      <c r="AP192" s="195"/>
      <c r="BC192" s="483"/>
    </row>
    <row r="193" spans="1:55" x14ac:dyDescent="0.25">
      <c r="A193" s="302"/>
      <c r="E193" s="97" t="s">
        <v>92</v>
      </c>
      <c r="F193" s="85"/>
      <c r="G193" s="85"/>
      <c r="H193" s="44"/>
      <c r="I193" s="85"/>
      <c r="J193" s="85"/>
      <c r="K193" s="251" t="s">
        <v>203</v>
      </c>
      <c r="L193" s="195"/>
      <c r="M193" s="195"/>
      <c r="N193" s="195"/>
      <c r="AA193" s="302"/>
      <c r="AC193" s="483"/>
      <c r="AG193" s="97" t="s">
        <v>92</v>
      </c>
      <c r="AH193" s="85"/>
      <c r="AI193" s="85"/>
      <c r="AJ193" s="44"/>
      <c r="AK193" s="85"/>
      <c r="AL193" s="85"/>
      <c r="AM193" s="251" t="s">
        <v>203</v>
      </c>
      <c r="AN193" s="195"/>
      <c r="AO193" s="195"/>
      <c r="AP193" s="195"/>
      <c r="BC193" s="483"/>
    </row>
    <row r="194" spans="1:55" x14ac:dyDescent="0.25">
      <c r="A194" s="302"/>
      <c r="E194" s="97" t="s">
        <v>191</v>
      </c>
      <c r="F194" s="84" t="s">
        <v>13</v>
      </c>
      <c r="G194" s="176">
        <f>G185+G190</f>
        <v>124.39963476265821</v>
      </c>
      <c r="H194" s="44"/>
      <c r="I194" s="85"/>
      <c r="J194" s="85"/>
      <c r="K194" s="251" t="s">
        <v>203</v>
      </c>
      <c r="L194" s="195"/>
      <c r="M194" s="195"/>
      <c r="N194" s="195"/>
      <c r="AA194" s="302"/>
      <c r="AC194" s="483"/>
      <c r="AG194" s="97" t="s">
        <v>191</v>
      </c>
      <c r="AH194" s="84" t="s">
        <v>13</v>
      </c>
      <c r="AI194" s="176">
        <f>AI185+AI190</f>
        <v>93.785834999999992</v>
      </c>
      <c r="AJ194" s="44"/>
      <c r="AK194" s="85"/>
      <c r="AL194" s="85"/>
      <c r="AM194" s="251" t="s">
        <v>203</v>
      </c>
      <c r="AN194" s="195"/>
      <c r="AO194" s="195"/>
      <c r="AP194" s="195"/>
      <c r="BC194" s="483"/>
    </row>
    <row r="195" spans="1:55" x14ac:dyDescent="0.25">
      <c r="A195" s="302"/>
      <c r="E195" s="97" t="s">
        <v>192</v>
      </c>
      <c r="F195" s="84" t="s">
        <v>13</v>
      </c>
      <c r="G195" s="176">
        <f>G186+G187+G191</f>
        <v>6.8650404607594924</v>
      </c>
      <c r="H195" s="44"/>
      <c r="I195" s="85"/>
      <c r="J195" s="85"/>
      <c r="K195" s="251" t="s">
        <v>203</v>
      </c>
      <c r="L195" s="195"/>
      <c r="M195" s="195"/>
      <c r="N195" s="195"/>
      <c r="AA195" s="302"/>
      <c r="AC195" s="483"/>
      <c r="AG195" s="97" t="s">
        <v>192</v>
      </c>
      <c r="AH195" s="84" t="s">
        <v>13</v>
      </c>
      <c r="AI195" s="176">
        <f>AI186+AI187+AI191</f>
        <v>5.1479999999999997</v>
      </c>
      <c r="AJ195" s="44"/>
      <c r="AK195" s="85"/>
      <c r="AL195" s="85"/>
      <c r="AM195" s="251" t="s">
        <v>203</v>
      </c>
      <c r="AN195" s="195"/>
      <c r="AO195" s="195"/>
      <c r="AP195" s="195"/>
      <c r="BC195" s="483"/>
    </row>
    <row r="196" spans="1:55" x14ac:dyDescent="0.25">
      <c r="A196" s="302"/>
      <c r="E196" s="115"/>
      <c r="F196" s="24"/>
      <c r="G196" s="24"/>
      <c r="H196" s="24"/>
      <c r="I196" s="24"/>
      <c r="J196" s="24"/>
      <c r="K196" s="253" t="s">
        <v>203</v>
      </c>
      <c r="L196" s="195"/>
      <c r="M196" s="195"/>
      <c r="N196" s="195"/>
      <c r="AA196" s="302"/>
      <c r="AC196" s="483"/>
      <c r="AG196" s="115"/>
      <c r="AH196" s="24"/>
      <c r="AI196" s="24"/>
      <c r="AJ196" s="24"/>
      <c r="AK196" s="24"/>
      <c r="AL196" s="24"/>
      <c r="AM196" s="253" t="s">
        <v>203</v>
      </c>
      <c r="AN196" s="195"/>
      <c r="AO196" s="195"/>
      <c r="AP196" s="195"/>
      <c r="BC196" s="483"/>
    </row>
    <row r="197" spans="1:55" x14ac:dyDescent="0.25">
      <c r="E197" s="44"/>
      <c r="F197" s="44"/>
      <c r="G197" s="44"/>
      <c r="I197" s="44"/>
      <c r="J197" s="44"/>
      <c r="K197" s="208" t="s">
        <v>203</v>
      </c>
      <c r="L197" s="195"/>
      <c r="M197" s="195"/>
      <c r="N197" s="195"/>
      <c r="P197" s="44"/>
      <c r="Q197" s="44"/>
      <c r="R197" s="44"/>
      <c r="S197" s="44"/>
      <c r="T197" s="44"/>
      <c r="U197" s="44" t="s">
        <v>210</v>
      </c>
      <c r="V197" s="44"/>
      <c r="AG197" s="44"/>
      <c r="AH197" s="44"/>
      <c r="AI197" s="44"/>
      <c r="AK197" s="44"/>
      <c r="AL197" s="44"/>
      <c r="AM197" s="208" t="s">
        <v>203</v>
      </c>
      <c r="AN197" s="195"/>
      <c r="AO197" s="195"/>
      <c r="AP197" s="195"/>
      <c r="AR197" s="44"/>
      <c r="AS197" s="44"/>
      <c r="AT197" s="44"/>
      <c r="AU197" s="44"/>
      <c r="AV197" s="44"/>
      <c r="AW197" s="44" t="s">
        <v>210</v>
      </c>
      <c r="AX197" s="44"/>
    </row>
    <row r="198" spans="1:55" x14ac:dyDescent="0.25">
      <c r="A198" s="302"/>
      <c r="B198" s="562" t="str">
        <f>'CH4_Gylle_Stald&amp;Lager'!V145</f>
        <v>Malkekøer, tung race Kvier u. 18. mdr. -tku18</v>
      </c>
      <c r="C198" s="195"/>
      <c r="K198" s="207" t="s">
        <v>203</v>
      </c>
      <c r="L198" s="195"/>
      <c r="M198" s="195"/>
      <c r="N198" s="195"/>
      <c r="Q198" s="577" t="str">
        <f>B198</f>
        <v>Malkekøer, tung race Kvier u. 18. mdr. -tku18</v>
      </c>
      <c r="R198" s="139"/>
      <c r="S198" s="139"/>
      <c r="T198" s="139"/>
      <c r="U198" s="139"/>
      <c r="V198" s="139" t="s">
        <v>210</v>
      </c>
      <c r="W198" s="139"/>
      <c r="X198" s="139"/>
      <c r="Y198" s="139"/>
      <c r="Z198" s="139"/>
      <c r="AA198" s="302"/>
      <c r="AC198" s="483"/>
      <c r="AD198" s="562" t="str">
        <f>'CH4_Gylle_Stald&amp;Lager'!AH145</f>
        <v>Malkekøer, jersey Kvier u. 18. mdr. -jku18</v>
      </c>
      <c r="AE198" s="195"/>
      <c r="AM198" s="207" t="s">
        <v>203</v>
      </c>
      <c r="AN198" s="195"/>
      <c r="AO198" s="195"/>
      <c r="AP198" s="195"/>
      <c r="AS198" s="678" t="str">
        <f>AD198</f>
        <v>Malkekøer, jersey Kvier u. 18. mdr. -jku18</v>
      </c>
      <c r="AT198" s="139"/>
      <c r="AU198" s="139"/>
      <c r="AV198" s="139"/>
      <c r="AW198" s="139"/>
      <c r="AX198" s="139" t="s">
        <v>210</v>
      </c>
      <c r="AY198" s="139"/>
      <c r="AZ198" s="139"/>
      <c r="BA198" s="139"/>
      <c r="BB198" s="139"/>
      <c r="BC198" s="483"/>
    </row>
    <row r="199" spans="1:55" x14ac:dyDescent="0.25">
      <c r="A199" s="302"/>
      <c r="B199" s="135" t="s">
        <v>93</v>
      </c>
      <c r="C199" s="567"/>
      <c r="E199" s="104" t="s">
        <v>83</v>
      </c>
      <c r="F199" s="674" t="s">
        <v>9</v>
      </c>
      <c r="G199" s="111"/>
      <c r="H199" s="111"/>
      <c r="I199" s="111"/>
      <c r="J199" s="111"/>
      <c r="K199" s="248" t="s">
        <v>203</v>
      </c>
      <c r="L199" s="178"/>
      <c r="M199" s="178" t="s">
        <v>23</v>
      </c>
      <c r="N199" s="200" t="s">
        <v>27</v>
      </c>
      <c r="Q199" s="103"/>
      <c r="R199" s="191"/>
      <c r="S199" s="191"/>
      <c r="T199" s="191"/>
      <c r="U199" s="297"/>
      <c r="V199" s="298" t="s">
        <v>210</v>
      </c>
      <c r="W199" s="178"/>
      <c r="X199" s="178" t="s">
        <v>23</v>
      </c>
      <c r="Y199" s="200" t="s">
        <v>27</v>
      </c>
      <c r="Z199" s="139"/>
      <c r="AA199" s="302"/>
      <c r="AC199" s="483"/>
      <c r="AD199" s="135" t="s">
        <v>93</v>
      </c>
      <c r="AE199" s="567"/>
      <c r="AG199" s="104" t="s">
        <v>83</v>
      </c>
      <c r="AH199" s="674" t="s">
        <v>9</v>
      </c>
      <c r="AI199" s="111"/>
      <c r="AJ199" s="111"/>
      <c r="AK199" s="111"/>
      <c r="AL199" s="111"/>
      <c r="AM199" s="248" t="s">
        <v>203</v>
      </c>
      <c r="AN199" s="178"/>
      <c r="AO199" s="178" t="s">
        <v>23</v>
      </c>
      <c r="AP199" s="200" t="s">
        <v>27</v>
      </c>
      <c r="AS199" s="103"/>
      <c r="AT199" s="191"/>
      <c r="AU199" s="191"/>
      <c r="AV199" s="191"/>
      <c r="AW199" s="297"/>
      <c r="AX199" s="298" t="s">
        <v>210</v>
      </c>
      <c r="AY199" s="178"/>
      <c r="AZ199" s="178" t="s">
        <v>23</v>
      </c>
      <c r="BA199" s="200" t="s">
        <v>27</v>
      </c>
      <c r="BB199" s="139"/>
      <c r="BC199" s="483"/>
    </row>
    <row r="200" spans="1:55" x14ac:dyDescent="0.25">
      <c r="A200" s="302"/>
      <c r="B200" s="136" t="s">
        <v>81</v>
      </c>
      <c r="C200" s="575">
        <f>'CH4_Gylle_Stald&amp;Lager'!X148</f>
        <v>180</v>
      </c>
      <c r="E200" s="105" t="s">
        <v>231</v>
      </c>
      <c r="F200" s="675" t="s">
        <v>25</v>
      </c>
      <c r="G200" s="123"/>
      <c r="H200" s="123"/>
      <c r="I200" s="123"/>
      <c r="J200" s="123"/>
      <c r="K200" s="249" t="s">
        <v>203</v>
      </c>
      <c r="L200" s="175" t="s">
        <v>236</v>
      </c>
      <c r="M200" s="44"/>
      <c r="N200" s="65"/>
      <c r="Q200" s="255" t="s">
        <v>241</v>
      </c>
      <c r="R200" s="675" t="str">
        <f>F200</f>
        <v>Sengestald med spalter (kanal, bagskyl eller ringkanal)</v>
      </c>
      <c r="S200" s="192"/>
      <c r="T200" s="192"/>
      <c r="U200" s="192"/>
      <c r="V200" s="243"/>
      <c r="W200" s="175" t="s">
        <v>361</v>
      </c>
      <c r="X200" s="85"/>
      <c r="Y200" s="186"/>
      <c r="Z200" s="139"/>
      <c r="AA200" s="302"/>
      <c r="AC200" s="483"/>
      <c r="AD200" s="136" t="s">
        <v>81</v>
      </c>
      <c r="AE200" s="575">
        <f>'CH4_Gylle_Stald&amp;Lager'!AJ148</f>
        <v>180</v>
      </c>
      <c r="AG200" s="105" t="s">
        <v>231</v>
      </c>
      <c r="AH200" s="675" t="s">
        <v>25</v>
      </c>
      <c r="AI200" s="123"/>
      <c r="AJ200" s="123"/>
      <c r="AK200" s="123"/>
      <c r="AL200" s="123"/>
      <c r="AM200" s="249" t="s">
        <v>203</v>
      </c>
      <c r="AN200" s="175" t="s">
        <v>236</v>
      </c>
      <c r="AO200" s="44"/>
      <c r="AP200" s="65"/>
      <c r="AS200" s="255" t="s">
        <v>241</v>
      </c>
      <c r="AT200" s="675" t="str">
        <f>AH200</f>
        <v>Sengestald med spalter (kanal, bagskyl eller ringkanal)</v>
      </c>
      <c r="AU200" s="192"/>
      <c r="AV200" s="192"/>
      <c r="AW200" s="192"/>
      <c r="AX200" s="243"/>
      <c r="AY200" s="175" t="s">
        <v>361</v>
      </c>
      <c r="AZ200" s="85"/>
      <c r="BA200" s="186"/>
      <c r="BB200" s="139"/>
      <c r="BC200" s="483"/>
    </row>
    <row r="201" spans="1:55" x14ac:dyDescent="0.25">
      <c r="A201" s="302"/>
      <c r="B201" s="137" t="s">
        <v>82</v>
      </c>
      <c r="C201" s="576">
        <f>'CH4_Gylle_Stald&amp;Lager'!X149</f>
        <v>24</v>
      </c>
      <c r="E201" s="106"/>
      <c r="F201" s="676" t="s">
        <v>30</v>
      </c>
      <c r="G201" s="112"/>
      <c r="H201" s="112"/>
      <c r="I201" s="112"/>
      <c r="J201" s="112"/>
      <c r="K201" s="250" t="s">
        <v>203</v>
      </c>
      <c r="L201" s="44" t="s">
        <v>170</v>
      </c>
      <c r="M201" s="44">
        <f>INDEX($E$4:$N$19,MATCH(F200,$E$4:$E$19, 0),3)</f>
        <v>0.2</v>
      </c>
      <c r="N201" s="65">
        <f>INDEX($E$4:$N$19,MATCH(F200,$E$4:$E$19, 0),4)</f>
        <v>0</v>
      </c>
      <c r="Q201" s="255" t="s">
        <v>242</v>
      </c>
      <c r="R201" s="675" t="str">
        <f>F201</f>
        <v>Dybstrøelse, lang ædeplads med spalter (kanal, bagskyl eller ringkanal)</v>
      </c>
      <c r="S201" s="192"/>
      <c r="T201" s="192"/>
      <c r="U201" s="192"/>
      <c r="V201" s="243"/>
      <c r="W201" s="44" t="s">
        <v>170</v>
      </c>
      <c r="X201" s="44">
        <f>INDEX($E$22:$N$24,MATCH(R202,$E$22:$E$24, 0),3)</f>
        <v>0.5</v>
      </c>
      <c r="Y201" s="65">
        <f>INDEX($E$22:$N$24,MATCH(R202,$E$22:$E$24, 0),4)</f>
        <v>0</v>
      </c>
      <c r="Z201" s="139"/>
      <c r="AA201" s="302"/>
      <c r="AC201" s="483"/>
      <c r="AD201" s="137" t="s">
        <v>82</v>
      </c>
      <c r="AE201" s="576">
        <f>'CH4_Gylle_Stald&amp;Lager'!AJ149</f>
        <v>24</v>
      </c>
      <c r="AG201" s="106"/>
      <c r="AH201" s="676" t="s">
        <v>30</v>
      </c>
      <c r="AI201" s="112"/>
      <c r="AJ201" s="112"/>
      <c r="AK201" s="112"/>
      <c r="AL201" s="112"/>
      <c r="AM201" s="250" t="s">
        <v>203</v>
      </c>
      <c r="AN201" s="44" t="s">
        <v>170</v>
      </c>
      <c r="AO201" s="44">
        <f>INDEX($E$4:$N$19,MATCH(AH200,$E$4:$E$19, 0),3)</f>
        <v>0.2</v>
      </c>
      <c r="AP201" s="65">
        <f>INDEX($E$4:$N$19,MATCH(AH200,$E$4:$E$19, 0),4)</f>
        <v>0</v>
      </c>
      <c r="AS201" s="255" t="s">
        <v>242</v>
      </c>
      <c r="AT201" s="675" t="str">
        <f>AH201</f>
        <v>Dybstrøelse, lang ædeplads med spalter (kanal, bagskyl eller ringkanal)</v>
      </c>
      <c r="AU201" s="192"/>
      <c r="AV201" s="192"/>
      <c r="AW201" s="192"/>
      <c r="AX201" s="243"/>
      <c r="AY201" s="44" t="s">
        <v>170</v>
      </c>
      <c r="AZ201" s="44">
        <f>INDEX($E$22:$N$24,MATCH(AT202,$E$22:$E$24, 0),3)</f>
        <v>0.5</v>
      </c>
      <c r="BA201" s="65">
        <f>INDEX($E$22:$N$24,MATCH(AT202,$E$22:$E$24, 0),4)</f>
        <v>0</v>
      </c>
      <c r="BB201" s="139"/>
      <c r="BC201" s="483"/>
    </row>
    <row r="202" spans="1:55" x14ac:dyDescent="0.25">
      <c r="A202" s="303"/>
      <c r="B202" s="138"/>
      <c r="C202" s="568"/>
      <c r="E202" s="43"/>
      <c r="F202" s="294" t="s">
        <v>5</v>
      </c>
      <c r="G202" s="295" t="s">
        <v>6</v>
      </c>
      <c r="H202" s="296" t="s">
        <v>356</v>
      </c>
      <c r="I202" s="44"/>
      <c r="J202" s="44"/>
      <c r="K202" s="251" t="s">
        <v>203</v>
      </c>
      <c r="L202" s="44" t="s">
        <v>2</v>
      </c>
      <c r="M202" s="44"/>
      <c r="N202" s="65">
        <f>INDEX($E$4:$N$19,MATCH(F200,$E$4:$E$19, 0),7)</f>
        <v>0</v>
      </c>
      <c r="Q202" s="255" t="s">
        <v>360</v>
      </c>
      <c r="R202" s="675" t="s">
        <v>127</v>
      </c>
      <c r="S202" s="192"/>
      <c r="T202" s="192"/>
      <c r="U202" s="192"/>
      <c r="V202" s="243"/>
      <c r="W202" s="44" t="s">
        <v>1</v>
      </c>
      <c r="X202" s="44">
        <f>INDEX($E$22:$N$24,MATCH(R202,$E$22:$E$24, 0),6)</f>
        <v>3.4</v>
      </c>
      <c r="Y202" s="65"/>
      <c r="Z202" s="139"/>
      <c r="AA202" s="303"/>
      <c r="AC202" s="484"/>
      <c r="AD202" s="138"/>
      <c r="AE202" s="568"/>
      <c r="AG202" s="43"/>
      <c r="AH202" s="294" t="s">
        <v>5</v>
      </c>
      <c r="AI202" s="295" t="s">
        <v>6</v>
      </c>
      <c r="AJ202" s="296" t="s">
        <v>356</v>
      </c>
      <c r="AK202" s="44"/>
      <c r="AL202" s="44"/>
      <c r="AM202" s="251" t="s">
        <v>203</v>
      </c>
      <c r="AN202" s="44" t="s">
        <v>2</v>
      </c>
      <c r="AO202" s="44"/>
      <c r="AP202" s="65">
        <f>INDEX($E$4:$N$19,MATCH(AH200,$E$4:$E$19, 0),7)</f>
        <v>0</v>
      </c>
      <c r="AS202" s="255" t="s">
        <v>360</v>
      </c>
      <c r="AT202" s="675" t="s">
        <v>127</v>
      </c>
      <c r="AU202" s="192"/>
      <c r="AV202" s="192"/>
      <c r="AW202" s="192"/>
      <c r="AX202" s="243"/>
      <c r="AY202" s="44" t="s">
        <v>1</v>
      </c>
      <c r="AZ202" s="44">
        <f>INDEX($E$22:$N$24,MATCH(AT202,$E$22:$E$24, 0),6)</f>
        <v>3.4</v>
      </c>
      <c r="BA202" s="65"/>
      <c r="BB202" s="139"/>
      <c r="BC202" s="484"/>
    </row>
    <row r="203" spans="1:55" x14ac:dyDescent="0.25">
      <c r="A203" s="303"/>
      <c r="B203" s="229" t="s">
        <v>221</v>
      </c>
      <c r="C203" s="569"/>
      <c r="E203" s="66" t="s">
        <v>101</v>
      </c>
      <c r="F203" s="305">
        <f>INDEX(Normtal!$Q$3:$AC$551,MATCH(B198,Normtal!$Q$3:$Q$551,0),3)</f>
        <v>39.513832258064518</v>
      </c>
      <c r="G203" s="281"/>
      <c r="H203" s="285">
        <f>INDEX(Normtal!$Q$3:$AC$551,MATCH(B198,Normtal!$Q$3:$Q$551,0),4)</f>
        <v>26.577756221198158</v>
      </c>
      <c r="I203" s="85"/>
      <c r="J203" s="44"/>
      <c r="K203" s="251" t="s">
        <v>203</v>
      </c>
      <c r="L203" s="44" t="s">
        <v>1</v>
      </c>
      <c r="M203" s="44">
        <f>INDEX($E$4:$N$19,MATCH(F200,$E$4:$E$19, 0),6)</f>
        <v>13.5</v>
      </c>
      <c r="N203" s="65"/>
      <c r="Q203" s="299" t="s">
        <v>359</v>
      </c>
      <c r="R203" s="676" t="s">
        <v>135</v>
      </c>
      <c r="S203" s="194"/>
      <c r="T203" s="194"/>
      <c r="U203" s="194"/>
      <c r="V203" s="241"/>
      <c r="W203" s="44" t="s">
        <v>2</v>
      </c>
      <c r="X203" s="44"/>
      <c r="Y203" s="65">
        <f>INDEX($E$22:$N$24,MATCH(R202,$E$22:$E$24, 0),7)</f>
        <v>2</v>
      </c>
      <c r="Z203" s="139"/>
      <c r="AA203" s="303"/>
      <c r="AC203" s="484"/>
      <c r="AD203" s="229" t="s">
        <v>221</v>
      </c>
      <c r="AE203" s="569"/>
      <c r="AG203" s="66" t="s">
        <v>101</v>
      </c>
      <c r="AH203" s="305">
        <f>INDEX(Normtal!$Q$3:$AC$551,MATCH(AD198,Normtal!$Q$3:$Q$551,0),3)</f>
        <v>29.788233846153847</v>
      </c>
      <c r="AI203" s="281"/>
      <c r="AJ203" s="285">
        <f>INDEX(Normtal!$Q$3:$AC$551,MATCH(AD198,Normtal!$Q$3:$Q$551,0),4)</f>
        <v>19.963618461538463</v>
      </c>
      <c r="AK203" s="85"/>
      <c r="AL203" s="44"/>
      <c r="AM203" s="251" t="s">
        <v>203</v>
      </c>
      <c r="AN203" s="44" t="s">
        <v>1</v>
      </c>
      <c r="AO203" s="44">
        <f>INDEX($E$4:$N$19,MATCH(AH200,$E$4:$E$19, 0),6)</f>
        <v>13.5</v>
      </c>
      <c r="AP203" s="65"/>
      <c r="AS203" s="299" t="s">
        <v>359</v>
      </c>
      <c r="AT203" s="676" t="s">
        <v>135</v>
      </c>
      <c r="AU203" s="194"/>
      <c r="AV203" s="194"/>
      <c r="AW203" s="194"/>
      <c r="AX203" s="241"/>
      <c r="AY203" s="44" t="s">
        <v>2</v>
      </c>
      <c r="AZ203" s="44"/>
      <c r="BA203" s="65">
        <f>INDEX($E$22:$N$24,MATCH(AT202,$E$22:$E$24, 0),7)</f>
        <v>2</v>
      </c>
      <c r="BB203" s="139"/>
      <c r="BC203" s="484"/>
    </row>
    <row r="204" spans="1:55" x14ac:dyDescent="0.25">
      <c r="A204" s="303"/>
      <c r="B204" s="231" t="s">
        <v>224</v>
      </c>
      <c r="C204" s="574">
        <f>'CH4_Gylle_Stald&amp;Lager'!X152</f>
        <v>0.37</v>
      </c>
      <c r="E204" s="66" t="s">
        <v>103</v>
      </c>
      <c r="F204" s="305">
        <f>F203*(C200/365)*(C201/24)</f>
        <v>19.486273442333186</v>
      </c>
      <c r="G204" s="281"/>
      <c r="H204" s="285">
        <f>H203*(C200/365)*(C201/24)</f>
        <v>13.106838684426489</v>
      </c>
      <c r="I204" s="44" t="s">
        <v>357</v>
      </c>
      <c r="J204" s="44"/>
      <c r="K204" s="251" t="s">
        <v>203</v>
      </c>
      <c r="L204" s="175" t="s">
        <v>237</v>
      </c>
      <c r="M204" s="44"/>
      <c r="N204" s="65"/>
      <c r="Q204" s="118"/>
      <c r="R204" s="119"/>
      <c r="S204" s="119"/>
      <c r="T204" s="119"/>
      <c r="U204" s="119"/>
      <c r="V204" s="124"/>
      <c r="W204" s="56" t="s">
        <v>177</v>
      </c>
      <c r="X204" s="310">
        <f>$J$26</f>
        <v>0.5</v>
      </c>
      <c r="Z204" s="139"/>
      <c r="AA204" s="303"/>
      <c r="AC204" s="484"/>
      <c r="AD204" s="231" t="s">
        <v>224</v>
      </c>
      <c r="AE204" s="574">
        <f>'CH4_Gylle_Stald&amp;Lager'!AJ152</f>
        <v>0.4</v>
      </c>
      <c r="AG204" s="66" t="s">
        <v>103</v>
      </c>
      <c r="AH204" s="305">
        <f>AH203*(AE200/365)*(AE201/24)</f>
        <v>14.690087924130664</v>
      </c>
      <c r="AI204" s="281"/>
      <c r="AJ204" s="285">
        <f>AJ203*(AE200/365)*(AE201/24)</f>
        <v>9.8450721180189671</v>
      </c>
      <c r="AK204" s="44" t="s">
        <v>357</v>
      </c>
      <c r="AL204" s="44"/>
      <c r="AM204" s="251" t="s">
        <v>203</v>
      </c>
      <c r="AN204" s="175" t="s">
        <v>237</v>
      </c>
      <c r="AO204" s="44"/>
      <c r="AP204" s="65"/>
      <c r="AS204" s="118"/>
      <c r="AT204" s="119"/>
      <c r="AU204" s="119"/>
      <c r="AV204" s="119"/>
      <c r="AW204" s="119"/>
      <c r="AX204" s="124"/>
      <c r="AY204" s="56" t="s">
        <v>177</v>
      </c>
      <c r="AZ204" s="310">
        <f>$J$26</f>
        <v>0.5</v>
      </c>
      <c r="BB204" s="139"/>
      <c r="BC204" s="484"/>
    </row>
    <row r="205" spans="1:55" x14ac:dyDescent="0.25">
      <c r="A205" s="303"/>
      <c r="B205" s="233" t="s">
        <v>223</v>
      </c>
      <c r="C205" s="570">
        <f>(365-C200*C201/24)*C204</f>
        <v>68.45</v>
      </c>
      <c r="D205" s="254"/>
      <c r="E205" s="66" t="s">
        <v>104</v>
      </c>
      <c r="F205" s="306">
        <f>F203-F204</f>
        <v>20.027558815731332</v>
      </c>
      <c r="G205" s="289"/>
      <c r="H205" s="287">
        <f>H203-H204</f>
        <v>13.470917536771669</v>
      </c>
      <c r="I205" s="44" t="s">
        <v>358</v>
      </c>
      <c r="J205" s="44"/>
      <c r="K205" s="251" t="s">
        <v>203</v>
      </c>
      <c r="L205" s="99" t="s">
        <v>170</v>
      </c>
      <c r="M205" s="85">
        <f>INDEX($E$4:$N$19,MATCH(F201,$E$4:$E$19, 0),3)</f>
        <v>0.2</v>
      </c>
      <c r="N205" s="186">
        <f>INDEX($E$4:$N$19,MATCH(F201,$E$4:$E$19, 0),4)</f>
        <v>1</v>
      </c>
      <c r="Q205" s="96" t="s">
        <v>139</v>
      </c>
      <c r="R205" s="85"/>
      <c r="S205" s="85"/>
      <c r="T205" s="85"/>
      <c r="U205" s="85"/>
      <c r="V205" s="186" t="s">
        <v>210</v>
      </c>
      <c r="W205" s="175" t="s">
        <v>364</v>
      </c>
      <c r="X205" s="44"/>
      <c r="Y205" s="65"/>
      <c r="Z205" s="139"/>
      <c r="AA205" s="303"/>
      <c r="AC205" s="484"/>
      <c r="AD205" s="233" t="s">
        <v>223</v>
      </c>
      <c r="AE205" s="570">
        <f>(365-AE200*AE201/24)*AE204</f>
        <v>74</v>
      </c>
      <c r="AF205" s="254"/>
      <c r="AG205" s="66" t="s">
        <v>104</v>
      </c>
      <c r="AH205" s="306">
        <f>AH203-AH204</f>
        <v>15.098145922023184</v>
      </c>
      <c r="AI205" s="289"/>
      <c r="AJ205" s="287">
        <f>AJ203-AJ204</f>
        <v>10.118546343519496</v>
      </c>
      <c r="AK205" s="44" t="s">
        <v>358</v>
      </c>
      <c r="AL205" s="44"/>
      <c r="AM205" s="251" t="s">
        <v>203</v>
      </c>
      <c r="AN205" s="99" t="s">
        <v>170</v>
      </c>
      <c r="AO205" s="85">
        <f>INDEX($E$4:$N$19,MATCH(AH201,$E$4:$E$19, 0),3)</f>
        <v>0.2</v>
      </c>
      <c r="AP205" s="186">
        <f>INDEX($E$4:$N$19,MATCH(AH201,$E$4:$E$19, 0),4)</f>
        <v>1</v>
      </c>
      <c r="AS205" s="96" t="s">
        <v>139</v>
      </c>
      <c r="AT205" s="85"/>
      <c r="AU205" s="85"/>
      <c r="AV205" s="85"/>
      <c r="AW205" s="85"/>
      <c r="AX205" s="186" t="s">
        <v>210</v>
      </c>
      <c r="AY205" s="175" t="s">
        <v>364</v>
      </c>
      <c r="AZ205" s="44"/>
      <c r="BA205" s="65"/>
      <c r="BB205" s="139"/>
      <c r="BC205" s="484"/>
    </row>
    <row r="206" spans="1:55" x14ac:dyDescent="0.25">
      <c r="A206" s="303"/>
      <c r="B206" s="231" t="s">
        <v>222</v>
      </c>
      <c r="C206" s="573"/>
      <c r="E206" s="66"/>
      <c r="F206" s="677" t="s">
        <v>277</v>
      </c>
      <c r="G206" s="221"/>
      <c r="H206" s="291"/>
      <c r="I206" s="44"/>
      <c r="J206" s="44"/>
      <c r="K206" s="65"/>
      <c r="L206" s="85" t="s">
        <v>2</v>
      </c>
      <c r="M206" s="85"/>
      <c r="N206" s="186">
        <f>INDEX($E$4:$N$19,MATCH(F201,$E$4:$E$19, 0),7)</f>
        <v>6</v>
      </c>
      <c r="Q206" s="66"/>
      <c r="R206" s="44"/>
      <c r="S206" s="44"/>
      <c r="T206" s="85"/>
      <c r="U206" s="85"/>
      <c r="V206" s="186" t="s">
        <v>210</v>
      </c>
      <c r="W206" s="99" t="s">
        <v>170</v>
      </c>
      <c r="X206" s="85">
        <f>INDEX($E$22:$N$24,MATCH(R203,$E$22:$E$24, 0),3)</f>
        <v>0</v>
      </c>
      <c r="Y206" s="186">
        <f>INDEX($E$22:$N$24,MATCH(R203,$E$22:$E$24, 0),4)</f>
        <v>1</v>
      </c>
      <c r="Z206" s="139"/>
      <c r="AA206" s="303"/>
      <c r="AC206" s="484"/>
      <c r="AD206" s="231" t="s">
        <v>222</v>
      </c>
      <c r="AE206" s="573"/>
      <c r="AG206" s="66"/>
      <c r="AH206" s="677" t="s">
        <v>599</v>
      </c>
      <c r="AI206" s="221"/>
      <c r="AJ206" s="291"/>
      <c r="AK206" s="44"/>
      <c r="AL206" s="44"/>
      <c r="AM206" s="65"/>
      <c r="AN206" s="85" t="s">
        <v>2</v>
      </c>
      <c r="AO206" s="85"/>
      <c r="AP206" s="186">
        <f>INDEX($E$4:$N$19,MATCH(AH201,$E$4:$E$19, 0),7)</f>
        <v>6</v>
      </c>
      <c r="AS206" s="66"/>
      <c r="AT206" s="44"/>
      <c r="AU206" s="44"/>
      <c r="AV206" s="85"/>
      <c r="AW206" s="85"/>
      <c r="AX206" s="186" t="s">
        <v>210</v>
      </c>
      <c r="AY206" s="99" t="s">
        <v>170</v>
      </c>
      <c r="AZ206" s="85">
        <f>INDEX($E$22:$N$24,MATCH(AT203,$E$22:$E$24, 0),3)</f>
        <v>0</v>
      </c>
      <c r="BA206" s="186">
        <f>INDEX($E$22:$N$24,MATCH(AT203,$E$22:$E$24, 0),4)</f>
        <v>1</v>
      </c>
      <c r="BB206" s="139"/>
      <c r="BC206" s="484"/>
    </row>
    <row r="207" spans="1:55" x14ac:dyDescent="0.25">
      <c r="A207" s="303"/>
      <c r="B207" s="231" t="s">
        <v>224</v>
      </c>
      <c r="C207" s="571">
        <f>1-C204</f>
        <v>0.63</v>
      </c>
      <c r="E207" s="66" t="s">
        <v>232</v>
      </c>
      <c r="F207" s="305">
        <f>F205*C204*1</f>
        <v>7.4101967618205933</v>
      </c>
      <c r="G207" s="281"/>
      <c r="H207" s="286"/>
      <c r="I207" s="246" t="str">
        <f>INDEX($E$4:$N$19,MATCH(F200,$E$4:$E$19, 0),2)</f>
        <v>100% gyllesystem</v>
      </c>
      <c r="J207" s="246"/>
      <c r="K207" s="251" t="s">
        <v>203</v>
      </c>
      <c r="L207" s="99" t="s">
        <v>1</v>
      </c>
      <c r="M207" s="85">
        <f>INDEX($E$4:$N$19,MATCH(F201,$E$4:$E$19, 0),6)</f>
        <v>13.5</v>
      </c>
      <c r="N207" s="65"/>
      <c r="Q207" s="211" t="s">
        <v>371</v>
      </c>
      <c r="R207" s="85" t="s">
        <v>10</v>
      </c>
      <c r="S207" s="176">
        <f>_xlfn.AGGREGATE(9,6, F207:G207)</f>
        <v>7.4101967618205933</v>
      </c>
      <c r="T207" s="85"/>
      <c r="U207" s="44"/>
      <c r="V207" s="65"/>
      <c r="W207" s="99" t="s">
        <v>1</v>
      </c>
      <c r="X207" s="85">
        <f>INDEX($E$22:$N$24,MATCH(R203,$E$22:$E$24, 0),6)</f>
        <v>0</v>
      </c>
      <c r="Y207" s="186"/>
      <c r="Z207" s="139"/>
      <c r="AA207" s="303"/>
      <c r="AC207" s="484"/>
      <c r="AD207" s="231" t="s">
        <v>224</v>
      </c>
      <c r="AE207" s="571">
        <f>1-AE204</f>
        <v>0.6</v>
      </c>
      <c r="AG207" s="66" t="s">
        <v>232</v>
      </c>
      <c r="AH207" s="305">
        <f>AH205*AE204*1</f>
        <v>6.039258368809274</v>
      </c>
      <c r="AI207" s="281"/>
      <c r="AJ207" s="286"/>
      <c r="AK207" s="246" t="str">
        <f>INDEX($E$4:$N$19,MATCH(AH200,$E$4:$E$19, 0),2)</f>
        <v>100% gyllesystem</v>
      </c>
      <c r="AL207" s="246"/>
      <c r="AM207" s="251" t="s">
        <v>203</v>
      </c>
      <c r="AN207" s="99" t="s">
        <v>1</v>
      </c>
      <c r="AO207" s="85">
        <f>INDEX($E$4:$N$19,MATCH(AH201,$E$4:$E$19, 0),6)</f>
        <v>13.5</v>
      </c>
      <c r="AP207" s="65"/>
      <c r="AS207" s="211" t="s">
        <v>371</v>
      </c>
      <c r="AT207" s="85" t="s">
        <v>10</v>
      </c>
      <c r="AU207" s="176">
        <f>_xlfn.AGGREGATE(9,6, AH207:AI207)</f>
        <v>6.039258368809274</v>
      </c>
      <c r="AV207" s="85"/>
      <c r="AW207" s="44"/>
      <c r="AX207" s="65"/>
      <c r="AY207" s="99" t="s">
        <v>1</v>
      </c>
      <c r="AZ207" s="85">
        <f>INDEX($E$22:$N$24,MATCH(AT203,$E$22:$E$24, 0),6)</f>
        <v>0</v>
      </c>
      <c r="BA207" s="186"/>
      <c r="BB207" s="139"/>
      <c r="BC207" s="484"/>
    </row>
    <row r="208" spans="1:55" x14ac:dyDescent="0.25">
      <c r="A208" s="302"/>
      <c r="B208" s="233" t="s">
        <v>81</v>
      </c>
      <c r="C208" s="570">
        <f>(365-C200*C201/24)*C207</f>
        <v>116.55</v>
      </c>
      <c r="E208" s="66" t="s">
        <v>102</v>
      </c>
      <c r="F208" s="305">
        <f>INDEX(Normtal!$Q$3:$AC$551,MATCH(F206,Normtal!$AA$3:$AA$551, 0),6)*C205/365</f>
        <v>8.7273750000000011E-2</v>
      </c>
      <c r="G208" s="283"/>
      <c r="H208" s="286"/>
      <c r="I208" s="44"/>
      <c r="J208" s="44"/>
      <c r="K208" s="65"/>
      <c r="L208" s="175" t="s">
        <v>363</v>
      </c>
      <c r="M208" s="44"/>
      <c r="N208" s="65"/>
      <c r="Q208" s="211" t="s">
        <v>243</v>
      </c>
      <c r="R208" s="85" t="s">
        <v>10</v>
      </c>
      <c r="S208" s="176">
        <f>_xlfn.AGGREGATE(9,6, F208:G208)</f>
        <v>8.7273750000000011E-2</v>
      </c>
      <c r="T208" s="85"/>
      <c r="U208" s="85"/>
      <c r="V208" s="186" t="s">
        <v>210</v>
      </c>
      <c r="W208" s="85" t="s">
        <v>2</v>
      </c>
      <c r="X208" s="85"/>
      <c r="Y208" s="186">
        <f>INDEX($E$22:$N$24,MATCH(R203,$E$22:$E$24, 0),7)</f>
        <v>3</v>
      </c>
      <c r="Z208" s="139"/>
      <c r="AA208" s="302"/>
      <c r="AC208" s="483"/>
      <c r="AD208" s="233" t="s">
        <v>81</v>
      </c>
      <c r="AE208" s="570">
        <f>(365-AE200*AE201/24)*AE207</f>
        <v>111</v>
      </c>
      <c r="AG208" s="66" t="s">
        <v>102</v>
      </c>
      <c r="AH208" s="305">
        <f>INDEX(Normtal!$Q$3:$AC$551,MATCH(AH206,Normtal!$AA$3:$AA$551, 0),6)*AE205/365</f>
        <v>6.2899999999999998E-2</v>
      </c>
      <c r="AI208" s="283"/>
      <c r="AJ208" s="286"/>
      <c r="AK208" s="44"/>
      <c r="AL208" s="44"/>
      <c r="AM208" s="65"/>
      <c r="AN208" s="175" t="s">
        <v>363</v>
      </c>
      <c r="AO208" s="44"/>
      <c r="AP208" s="65"/>
      <c r="AS208" s="211" t="s">
        <v>243</v>
      </c>
      <c r="AT208" s="85" t="s">
        <v>10</v>
      </c>
      <c r="AU208" s="176">
        <f>_xlfn.AGGREGATE(9,6, AH208:AI208)</f>
        <v>6.2899999999999998E-2</v>
      </c>
      <c r="AV208" s="85"/>
      <c r="AW208" s="85"/>
      <c r="AX208" s="186" t="s">
        <v>210</v>
      </c>
      <c r="AY208" s="85" t="s">
        <v>2</v>
      </c>
      <c r="AZ208" s="85"/>
      <c r="BA208" s="186">
        <f>INDEX($E$22:$N$24,MATCH(AT203,$E$22:$E$24, 0),7)</f>
        <v>3</v>
      </c>
      <c r="BB208" s="139"/>
      <c r="BC208" s="483"/>
    </row>
    <row r="209" spans="1:55" x14ac:dyDescent="0.25">
      <c r="A209" s="302"/>
      <c r="C209" s="195"/>
      <c r="E209" s="66" t="s">
        <v>235</v>
      </c>
      <c r="F209" s="307">
        <f>INDEX(Normtal!$Q$3:$AC$551,MATCH(F206,Normtal!$AA$3:$AA$551, 0),4)*C205/365</f>
        <v>4.9842394886055175</v>
      </c>
      <c r="G209" s="247"/>
      <c r="H209" s="285">
        <f>H205*C204</f>
        <v>4.9842394886055175</v>
      </c>
      <c r="I209" s="44"/>
      <c r="J209" s="44"/>
      <c r="K209" s="251"/>
      <c r="L209" s="44" t="s">
        <v>362</v>
      </c>
      <c r="M209" s="44">
        <f>$J$26</f>
        <v>0.5</v>
      </c>
      <c r="N209" s="65"/>
      <c r="Q209" s="211" t="s">
        <v>365</v>
      </c>
      <c r="R209" s="85" t="s">
        <v>10</v>
      </c>
      <c r="S209" s="176">
        <f>-_xlfn.AGGREGATE(9,6,G225:G226)</f>
        <v>-1.4994941023641186E-2</v>
      </c>
      <c r="T209" s="85"/>
      <c r="U209" s="85"/>
      <c r="V209" s="186" t="s">
        <v>210</v>
      </c>
      <c r="W209" s="86" t="s">
        <v>363</v>
      </c>
      <c r="X209" s="85"/>
      <c r="Y209" s="186"/>
      <c r="Z209" s="139"/>
      <c r="AA209" s="302"/>
      <c r="AC209" s="483"/>
      <c r="AE209" s="195"/>
      <c r="AG209" s="66" t="s">
        <v>235</v>
      </c>
      <c r="AH209" s="307">
        <f>INDEX(Normtal!$Q$3:$AC$551,MATCH(AH206,Normtal!$AA$3:$AA$551, 0),4)*AE205/365</f>
        <v>4.0474185374077978</v>
      </c>
      <c r="AI209" s="247"/>
      <c r="AJ209" s="285">
        <f>AJ205*AE204</f>
        <v>4.0474185374077987</v>
      </c>
      <c r="AK209" s="44"/>
      <c r="AL209" s="44"/>
      <c r="AM209" s="251"/>
      <c r="AN209" s="44" t="s">
        <v>362</v>
      </c>
      <c r="AO209" s="44">
        <f>$J$26</f>
        <v>0.5</v>
      </c>
      <c r="AP209" s="65"/>
      <c r="AS209" s="211" t="s">
        <v>365</v>
      </c>
      <c r="AT209" s="85" t="s">
        <v>10</v>
      </c>
      <c r="AU209" s="176">
        <f>-_xlfn.AGGREGATE(9,6,AI225:AI226)</f>
        <v>-1.2204316737618548E-2</v>
      </c>
      <c r="AV209" s="85"/>
      <c r="AW209" s="85"/>
      <c r="AX209" s="186" t="s">
        <v>210</v>
      </c>
      <c r="AY209" s="86" t="s">
        <v>363</v>
      </c>
      <c r="AZ209" s="85"/>
      <c r="BA209" s="186"/>
      <c r="BB209" s="139"/>
      <c r="BC209" s="483"/>
    </row>
    <row r="210" spans="1:55" ht="30" x14ac:dyDescent="0.25">
      <c r="A210" s="302"/>
      <c r="B210" s="257" t="s">
        <v>245</v>
      </c>
      <c r="C210" s="572">
        <f>'CH4_Gylle_Stald&amp;Lager'!X158</f>
        <v>0.3</v>
      </c>
      <c r="E210" s="66"/>
      <c r="F210" s="290"/>
      <c r="G210" s="290"/>
      <c r="H210" s="292"/>
      <c r="I210" s="44"/>
      <c r="J210" s="44"/>
      <c r="K210" s="251" t="s">
        <v>203</v>
      </c>
      <c r="L210" s="44" t="s">
        <v>171</v>
      </c>
      <c r="M210" s="44">
        <f>$J$27</f>
        <v>-0.5</v>
      </c>
      <c r="N210" s="65"/>
      <c r="Q210" s="211" t="s">
        <v>367</v>
      </c>
      <c r="R210" s="85" t="s">
        <v>10</v>
      </c>
      <c r="S210" s="176">
        <f>-_xlfn.AGGREGATE(9,6,G227,G228)</f>
        <v>-0.67287233096174492</v>
      </c>
      <c r="T210" s="85"/>
      <c r="U210" s="85"/>
      <c r="V210" s="186"/>
      <c r="W210" s="99" t="s">
        <v>171</v>
      </c>
      <c r="X210" s="85">
        <f>$J$27</f>
        <v>-0.5</v>
      </c>
      <c r="Y210" s="186"/>
      <c r="Z210" s="139"/>
      <c r="AA210" s="302"/>
      <c r="AC210" s="483"/>
      <c r="AD210" s="257" t="s">
        <v>245</v>
      </c>
      <c r="AE210" s="572">
        <f>'CH4_Gylle_Stald&amp;Lager'!AJ158</f>
        <v>0.3</v>
      </c>
      <c r="AG210" s="66"/>
      <c r="AH210" s="290"/>
      <c r="AI210" s="290"/>
      <c r="AJ210" s="292"/>
      <c r="AK210" s="44"/>
      <c r="AL210" s="44"/>
      <c r="AM210" s="251" t="s">
        <v>203</v>
      </c>
      <c r="AN210" s="44" t="s">
        <v>171</v>
      </c>
      <c r="AO210" s="44">
        <f>$J$27</f>
        <v>-0.5</v>
      </c>
      <c r="AP210" s="65"/>
      <c r="AS210" s="211" t="s">
        <v>367</v>
      </c>
      <c r="AT210" s="85" t="s">
        <v>10</v>
      </c>
      <c r="AU210" s="176">
        <f>-_xlfn.AGGREGATE(9,6,AI227,AI228)</f>
        <v>-0.54640150255005271</v>
      </c>
      <c r="AV210" s="85"/>
      <c r="AW210" s="85"/>
      <c r="AX210" s="186"/>
      <c r="AY210" s="99" t="s">
        <v>171</v>
      </c>
      <c r="AZ210" s="85">
        <f>$J$27</f>
        <v>-0.5</v>
      </c>
      <c r="BA210" s="186"/>
      <c r="BB210" s="139"/>
      <c r="BC210" s="483"/>
    </row>
    <row r="211" spans="1:55" x14ac:dyDescent="0.25">
      <c r="A211" s="302"/>
      <c r="E211" s="66"/>
      <c r="F211" s="677" t="s">
        <v>271</v>
      </c>
      <c r="G211" s="677" t="s">
        <v>272</v>
      </c>
      <c r="H211" s="284"/>
      <c r="I211" s="44" t="s">
        <v>203</v>
      </c>
      <c r="J211" s="44"/>
      <c r="K211" s="65"/>
      <c r="L211" s="293" t="s">
        <v>238</v>
      </c>
      <c r="M211" s="44"/>
      <c r="N211" s="65"/>
      <c r="Q211" s="455"/>
      <c r="R211" s="84"/>
      <c r="S211" s="94"/>
      <c r="T211" s="85"/>
      <c r="U211" s="85"/>
      <c r="V211" s="186" t="s">
        <v>210</v>
      </c>
      <c r="W211" s="85" t="s">
        <v>177</v>
      </c>
      <c r="X211" s="85">
        <f>$J$26</f>
        <v>0.5</v>
      </c>
      <c r="Y211" s="186"/>
      <c r="Z211" s="139"/>
      <c r="AA211" s="302"/>
      <c r="AC211" s="483"/>
      <c r="AG211" s="66"/>
      <c r="AH211" s="677" t="s">
        <v>600</v>
      </c>
      <c r="AI211" s="677" t="s">
        <v>601</v>
      </c>
      <c r="AJ211" s="284"/>
      <c r="AK211" s="44" t="s">
        <v>203</v>
      </c>
      <c r="AL211" s="44"/>
      <c r="AM211" s="65"/>
      <c r="AN211" s="293" t="s">
        <v>238</v>
      </c>
      <c r="AO211" s="44"/>
      <c r="AP211" s="65"/>
      <c r="AS211" s="455"/>
      <c r="AT211" s="84"/>
      <c r="AU211" s="94"/>
      <c r="AV211" s="85"/>
      <c r="AW211" s="85"/>
      <c r="AX211" s="186" t="s">
        <v>210</v>
      </c>
      <c r="AY211" s="85" t="s">
        <v>177</v>
      </c>
      <c r="AZ211" s="85">
        <f>$J$26</f>
        <v>0.5</v>
      </c>
      <c r="BA211" s="186"/>
      <c r="BB211" s="139"/>
      <c r="BC211" s="483"/>
    </row>
    <row r="212" spans="1:55" x14ac:dyDescent="0.25">
      <c r="A212" s="302"/>
      <c r="B212" s="77" t="s">
        <v>226</v>
      </c>
      <c r="C212" s="236">
        <f>C200*C201/24+C205+C208</f>
        <v>365</v>
      </c>
      <c r="E212" s="66" t="s">
        <v>233</v>
      </c>
      <c r="F212" s="305">
        <f>F205*C207*0.4</f>
        <v>5.0469448215642956</v>
      </c>
      <c r="G212" s="247">
        <f>F205*C207*0.6</f>
        <v>7.5704172323464434</v>
      </c>
      <c r="H212" s="286"/>
      <c r="I212" s="246" t="str">
        <f>INDEX($E$4:$N$19,MATCH(F201,$E$4:$E$19, 0),2)</f>
        <v>60 % dybstrøelsessystem - 40 % gyllesystem</v>
      </c>
      <c r="J212" s="246"/>
      <c r="K212" s="65"/>
      <c r="L212" s="85" t="s">
        <v>172</v>
      </c>
      <c r="M212" s="85">
        <f>INDEX($E$4:$N$19,MATCH(F199,$E$4:$E$19, 0),3)</f>
        <v>0.4</v>
      </c>
      <c r="N212" s="186"/>
      <c r="Q212" s="211" t="s">
        <v>372</v>
      </c>
      <c r="R212" s="44"/>
      <c r="S212" s="113">
        <f>_xlfn.AGGREGATE(9,6,F212:G212)</f>
        <v>12.617362053910739</v>
      </c>
      <c r="T212" s="44"/>
      <c r="U212" s="44"/>
      <c r="V212" s="65"/>
      <c r="W212" s="44"/>
      <c r="X212" s="44"/>
      <c r="Y212" s="65"/>
      <c r="Z212" s="139"/>
      <c r="AA212" s="302"/>
      <c r="AC212" s="483"/>
      <c r="AD212" s="77" t="s">
        <v>226</v>
      </c>
      <c r="AE212" s="236">
        <f>AE200*AE201/24+AE205+AE208</f>
        <v>365</v>
      </c>
      <c r="AG212" s="66" t="s">
        <v>233</v>
      </c>
      <c r="AH212" s="305">
        <f>AH205*AE207*0.4</f>
        <v>3.6235550212855645</v>
      </c>
      <c r="AI212" s="247">
        <f>AH205*AE207*0.6</f>
        <v>5.4353325319283465</v>
      </c>
      <c r="AJ212" s="286"/>
      <c r="AK212" s="246" t="str">
        <f>INDEX($E$4:$N$19,MATCH(AH201,$E$4:$E$19, 0),2)</f>
        <v>60 % dybstrøelsessystem - 40 % gyllesystem</v>
      </c>
      <c r="AL212" s="246"/>
      <c r="AM212" s="65"/>
      <c r="AN212" s="85" t="s">
        <v>172</v>
      </c>
      <c r="AO212" s="85">
        <f>INDEX($E$4:$N$19,MATCH(AH199,$E$4:$E$19, 0),3)</f>
        <v>0.4</v>
      </c>
      <c r="AP212" s="186"/>
      <c r="AS212" s="211" t="s">
        <v>372</v>
      </c>
      <c r="AT212" s="44"/>
      <c r="AU212" s="113">
        <f>_xlfn.AGGREGATE(9,6,AH212:AI212)</f>
        <v>9.0588875532139106</v>
      </c>
      <c r="AV212" s="44"/>
      <c r="AW212" s="44"/>
      <c r="AX212" s="65"/>
      <c r="AY212" s="44"/>
      <c r="AZ212" s="44"/>
      <c r="BA212" s="65"/>
      <c r="BB212" s="139"/>
      <c r="BC212" s="483"/>
    </row>
    <row r="213" spans="1:55" x14ac:dyDescent="0.25">
      <c r="A213" s="302"/>
      <c r="B213" s="720"/>
      <c r="C213" s="245"/>
      <c r="E213" s="117" t="s">
        <v>102</v>
      </c>
      <c r="F213" s="305">
        <f>INDEX(Normtal!$Q$3:$AC$551,MATCH(F211,Normtal!$AA$3:$AA$551, 0),6)*C208/365</f>
        <v>0</v>
      </c>
      <c r="G213" s="305">
        <f>INDEX(Normtal!$Q$3:$AC$551,MATCH(G211,Normtal!$AA$3:$AA$551, 0),6)*C208/365</f>
        <v>2.4766875000000002</v>
      </c>
      <c r="H213" s="286"/>
      <c r="I213" s="44"/>
      <c r="J213" s="44"/>
      <c r="K213" s="251" t="s">
        <v>203</v>
      </c>
      <c r="L213" s="85"/>
      <c r="M213" s="85"/>
      <c r="N213" s="186"/>
      <c r="Q213" s="211" t="s">
        <v>244</v>
      </c>
      <c r="R213" s="85" t="s">
        <v>10</v>
      </c>
      <c r="S213" s="113">
        <f>_xlfn.AGGREGATE(9,6,F213:G213)</f>
        <v>2.4766875000000002</v>
      </c>
      <c r="T213" s="44"/>
      <c r="U213" s="44"/>
      <c r="V213" s="65"/>
      <c r="W213" s="85" t="s">
        <v>159</v>
      </c>
      <c r="X213" s="85">
        <f>$U$20</f>
        <v>0.01</v>
      </c>
      <c r="Y213" s="186"/>
      <c r="Z213" s="139"/>
      <c r="AA213" s="302"/>
      <c r="AC213" s="483"/>
      <c r="AD213" s="720"/>
      <c r="AE213" s="245"/>
      <c r="AG213" s="117" t="s">
        <v>102</v>
      </c>
      <c r="AH213" s="305">
        <f>INDEX(Normtal!$Q$3:$AC$551,MATCH(AH211,Normtal!$AA$3:$AA$551, 0),6)*AE208/365</f>
        <v>0</v>
      </c>
      <c r="AI213" s="305">
        <f>INDEX(Normtal!$Q$3:$AC$551,MATCH(AI211,Normtal!$AA$3:$AA$551, 0),6)*AE208/365</f>
        <v>1.887</v>
      </c>
      <c r="AJ213" s="286"/>
      <c r="AK213" s="44"/>
      <c r="AL213" s="44"/>
      <c r="AM213" s="251" t="s">
        <v>203</v>
      </c>
      <c r="AN213" s="85"/>
      <c r="AO213" s="85"/>
      <c r="AP213" s="186"/>
      <c r="AS213" s="211" t="s">
        <v>244</v>
      </c>
      <c r="AT213" s="85" t="s">
        <v>10</v>
      </c>
      <c r="AU213" s="113">
        <f>_xlfn.AGGREGATE(9,6,AH213:AI213)</f>
        <v>1.887</v>
      </c>
      <c r="AV213" s="44"/>
      <c r="AW213" s="44"/>
      <c r="AX213" s="65"/>
      <c r="AY213" s="85" t="s">
        <v>159</v>
      </c>
      <c r="AZ213" s="85">
        <f>$U$20</f>
        <v>0.01</v>
      </c>
      <c r="BA213" s="186"/>
      <c r="BB213" s="139"/>
      <c r="BC213" s="483"/>
    </row>
    <row r="214" spans="1:55" x14ac:dyDescent="0.25">
      <c r="A214" s="302"/>
      <c r="B214" s="720"/>
      <c r="C214" s="245"/>
      <c r="E214" s="66" t="s">
        <v>234</v>
      </c>
      <c r="F214" s="307">
        <f>INDEX(Normtal!$Q$3:$AC$551,MATCH(F211,Normtal!$AA$3:$AA$551, 0),4)*C208/365</f>
        <v>3.3946712192664599</v>
      </c>
      <c r="G214" s="283"/>
      <c r="H214" s="285">
        <f>H205*C207*0.4</f>
        <v>3.3946712192664608</v>
      </c>
      <c r="I214" s="44"/>
      <c r="J214" s="44"/>
      <c r="K214" s="65"/>
      <c r="L214" s="85" t="s">
        <v>195</v>
      </c>
      <c r="M214" s="85"/>
      <c r="N214" s="201">
        <f>INDEX($E$4:$N$19,MATCH(F199,$E$4:$E$19, 0),7)</f>
        <v>0.21</v>
      </c>
      <c r="Q214" s="211" t="s">
        <v>368</v>
      </c>
      <c r="R214" s="85" t="s">
        <v>10</v>
      </c>
      <c r="S214" s="300">
        <f>-_xlfn.AGGREGATE(9,6,G230:G231)</f>
        <v>-9.3706498353579332E-2</v>
      </c>
      <c r="T214" s="44"/>
      <c r="U214" s="44"/>
      <c r="V214" s="65"/>
      <c r="W214" s="44"/>
      <c r="X214" s="44"/>
      <c r="Y214" s="186"/>
      <c r="Z214" s="139"/>
      <c r="AA214" s="302"/>
      <c r="AC214" s="483"/>
      <c r="AD214" s="720"/>
      <c r="AE214" s="245"/>
      <c r="AG214" s="66" t="s">
        <v>234</v>
      </c>
      <c r="AH214" s="307">
        <f>INDEX(Normtal!$Q$3:$AC$551,MATCH(AH211,Normtal!$AA$3:$AA$551, 0),4)*AE208/365</f>
        <v>2.4284511224446788</v>
      </c>
      <c r="AI214" s="283"/>
      <c r="AJ214" s="285">
        <f>AJ205*AE207*0.4</f>
        <v>2.4284511224446792</v>
      </c>
      <c r="AK214" s="44"/>
      <c r="AL214" s="44"/>
      <c r="AM214" s="65"/>
      <c r="AN214" s="85" t="s">
        <v>195</v>
      </c>
      <c r="AO214" s="85"/>
      <c r="AP214" s="201">
        <f>INDEX($E$4:$N$19,MATCH(AH199,$E$4:$E$19, 0),7)</f>
        <v>0.21</v>
      </c>
      <c r="AS214" s="211" t="s">
        <v>368</v>
      </c>
      <c r="AT214" s="85" t="s">
        <v>10</v>
      </c>
      <c r="AU214" s="300">
        <f>-_xlfn.AGGREGATE(9,6,AI230:AI231)</f>
        <v>-6.7338983307060077E-2</v>
      </c>
      <c r="AV214" s="44"/>
      <c r="AW214" s="44"/>
      <c r="AX214" s="65"/>
      <c r="AY214" s="44"/>
      <c r="AZ214" s="44"/>
      <c r="BA214" s="186"/>
      <c r="BB214" s="139"/>
      <c r="BC214" s="483"/>
    </row>
    <row r="215" spans="1:55" x14ac:dyDescent="0.25">
      <c r="A215" s="302"/>
      <c r="E215" s="66"/>
      <c r="F215" s="290"/>
      <c r="G215" s="290"/>
      <c r="H215" s="292"/>
      <c r="I215" s="44"/>
      <c r="J215" s="44"/>
      <c r="K215" s="251" t="s">
        <v>203</v>
      </c>
      <c r="L215" s="85"/>
      <c r="M215" s="85"/>
      <c r="N215" s="186"/>
      <c r="Q215" s="211" t="s">
        <v>366</v>
      </c>
      <c r="R215" s="85" t="s">
        <v>10</v>
      </c>
      <c r="S215" s="300">
        <f>-_xlfn.AGGREGATE(9,6,G232:G233)</f>
        <v>-0.91250564854175864</v>
      </c>
      <c r="T215" s="44"/>
      <c r="U215" s="44"/>
      <c r="V215" s="65"/>
      <c r="Y215" s="65"/>
      <c r="Z215" s="139"/>
      <c r="AA215" s="302"/>
      <c r="AC215" s="483"/>
      <c r="AG215" s="66"/>
      <c r="AH215" s="290"/>
      <c r="AI215" s="290"/>
      <c r="AJ215" s="292"/>
      <c r="AK215" s="44"/>
      <c r="AL215" s="44"/>
      <c r="AM215" s="251" t="s">
        <v>203</v>
      </c>
      <c r="AN215" s="85"/>
      <c r="AO215" s="85"/>
      <c r="AP215" s="186"/>
      <c r="AS215" s="211" t="s">
        <v>366</v>
      </c>
      <c r="AT215" s="85" t="s">
        <v>10</v>
      </c>
      <c r="AU215" s="300">
        <f>-_xlfn.AGGREGATE(9,6,AI232:AI233)</f>
        <v>-0.6539608534457324</v>
      </c>
      <c r="AV215" s="44"/>
      <c r="AW215" s="44"/>
      <c r="AX215" s="65"/>
      <c r="BA215" s="65"/>
      <c r="BB215" s="139"/>
      <c r="BC215" s="483"/>
    </row>
    <row r="216" spans="1:55" x14ac:dyDescent="0.25">
      <c r="A216" s="302"/>
      <c r="E216" s="96" t="s">
        <v>134</v>
      </c>
      <c r="F216" s="176">
        <f>_xlfn.AGGREGATE(9,6,F209,F214)</f>
        <v>8.3789107078719773</v>
      </c>
      <c r="G216" s="288"/>
      <c r="H216" s="266">
        <f>_xlfn.AGGREGATE(9,6,H209,H214)</f>
        <v>8.3789107078719773</v>
      </c>
      <c r="I216" s="44"/>
      <c r="J216" s="44"/>
      <c r="K216" s="65"/>
      <c r="L216" s="85"/>
      <c r="M216" s="85"/>
      <c r="N216" s="186"/>
      <c r="Q216" s="66"/>
      <c r="R216" s="44"/>
      <c r="S216" s="44"/>
      <c r="T216" s="301"/>
      <c r="U216" s="44"/>
      <c r="V216" s="65"/>
      <c r="W216" s="24"/>
      <c r="X216" s="24"/>
      <c r="Y216" s="120"/>
      <c r="Z216" s="48"/>
      <c r="AA216" s="302"/>
      <c r="AC216" s="483"/>
      <c r="AG216" s="96" t="s">
        <v>134</v>
      </c>
      <c r="AH216" s="176">
        <f>_xlfn.AGGREGATE(9,6,AH209,AH214)</f>
        <v>6.4758696598524761</v>
      </c>
      <c r="AI216" s="288"/>
      <c r="AJ216" s="266">
        <f>_xlfn.AGGREGATE(9,6,AJ209,AJ214)</f>
        <v>6.4758696598524779</v>
      </c>
      <c r="AK216" s="44"/>
      <c r="AL216" s="44"/>
      <c r="AM216" s="65"/>
      <c r="AN216" s="85"/>
      <c r="AO216" s="85"/>
      <c r="AP216" s="186"/>
      <c r="AS216" s="66"/>
      <c r="AT216" s="44"/>
      <c r="AU216" s="44"/>
      <c r="AV216" s="301"/>
      <c r="AW216" s="44"/>
      <c r="AX216" s="65"/>
      <c r="AY216" s="24"/>
      <c r="AZ216" s="24"/>
      <c r="BA216" s="120"/>
      <c r="BB216" s="48"/>
      <c r="BC216" s="483"/>
    </row>
    <row r="217" spans="1:55" x14ac:dyDescent="0.25">
      <c r="A217" s="302"/>
      <c r="E217" s="66"/>
      <c r="F217" s="44"/>
      <c r="G217" s="44"/>
      <c r="H217" s="44"/>
      <c r="I217" s="44"/>
      <c r="J217" s="44"/>
      <c r="K217" s="65"/>
      <c r="L217" s="85"/>
      <c r="M217" s="85"/>
      <c r="N217" s="186"/>
      <c r="Q217" s="96" t="s">
        <v>369</v>
      </c>
      <c r="R217" s="85" t="s">
        <v>10</v>
      </c>
      <c r="S217" s="198">
        <f>SUM(S207:S210)</f>
        <v>6.8096032398352069</v>
      </c>
      <c r="W217" s="44"/>
      <c r="X217" s="44"/>
      <c r="Y217" s="44"/>
      <c r="Z217" s="48"/>
      <c r="AA217" s="302"/>
      <c r="AC217" s="483"/>
      <c r="AG217" s="66"/>
      <c r="AH217" s="44"/>
      <c r="AI217" s="44"/>
      <c r="AJ217" s="44"/>
      <c r="AK217" s="44"/>
      <c r="AL217" s="44"/>
      <c r="AM217" s="65"/>
      <c r="AN217" s="85"/>
      <c r="AO217" s="85"/>
      <c r="AP217" s="186"/>
      <c r="AS217" s="96" t="s">
        <v>369</v>
      </c>
      <c r="AT217" s="85" t="s">
        <v>10</v>
      </c>
      <c r="AU217" s="198">
        <f>SUM(AU207:AU210)</f>
        <v>5.5435525495216025</v>
      </c>
      <c r="AY217" s="44"/>
      <c r="AZ217" s="44"/>
      <c r="BA217" s="44"/>
      <c r="BB217" s="48"/>
      <c r="BC217" s="483"/>
    </row>
    <row r="218" spans="1:55" x14ac:dyDescent="0.25">
      <c r="A218" s="302"/>
      <c r="E218" s="96" t="s">
        <v>84</v>
      </c>
      <c r="F218" s="85"/>
      <c r="G218" s="85"/>
      <c r="H218" s="44"/>
      <c r="I218" s="85"/>
      <c r="J218" s="44"/>
      <c r="K218" s="251" t="s">
        <v>203</v>
      </c>
      <c r="L218" s="85" t="str">
        <f>$T$20</f>
        <v>EF4</v>
      </c>
      <c r="M218" s="85">
        <f>$U$20</f>
        <v>0.01</v>
      </c>
      <c r="N218" s="186"/>
      <c r="Q218" s="310" t="s">
        <v>563</v>
      </c>
      <c r="R218" s="84" t="s">
        <v>10</v>
      </c>
      <c r="S218" s="457">
        <f>F209-G227</f>
        <v>4.3113671576437724</v>
      </c>
      <c r="U218" s="44"/>
      <c r="V218" s="65"/>
      <c r="W218" s="44"/>
      <c r="X218" s="44"/>
      <c r="Y218" s="44"/>
      <c r="Z218" s="48"/>
      <c r="AA218" s="302"/>
      <c r="AC218" s="483"/>
      <c r="AG218" s="96" t="s">
        <v>84</v>
      </c>
      <c r="AH218" s="85"/>
      <c r="AI218" s="85"/>
      <c r="AJ218" s="44"/>
      <c r="AK218" s="85"/>
      <c r="AL218" s="44"/>
      <c r="AM218" s="251" t="s">
        <v>203</v>
      </c>
      <c r="AN218" s="85" t="str">
        <f>$T$20</f>
        <v>EF4</v>
      </c>
      <c r="AO218" s="85">
        <f>$U$20</f>
        <v>0.01</v>
      </c>
      <c r="AP218" s="186"/>
      <c r="AS218" s="310" t="s">
        <v>563</v>
      </c>
      <c r="AT218" s="84" t="s">
        <v>10</v>
      </c>
      <c r="AU218" s="457">
        <f>AH209-AI227</f>
        <v>3.5010170348577452</v>
      </c>
      <c r="AW218" s="44"/>
      <c r="AX218" s="65"/>
      <c r="AY218" s="44"/>
      <c r="AZ218" s="44"/>
      <c r="BA218" s="44"/>
      <c r="BB218" s="48"/>
      <c r="BC218" s="483"/>
    </row>
    <row r="219" spans="1:55" x14ac:dyDescent="0.25">
      <c r="A219" s="302"/>
      <c r="E219" s="96" t="s">
        <v>105</v>
      </c>
      <c r="F219" s="85" t="s">
        <v>10</v>
      </c>
      <c r="G219" s="176">
        <f>(F204)*M212/100</f>
        <v>7.7945093769332743E-2</v>
      </c>
      <c r="H219" s="44"/>
      <c r="I219" s="85" t="s">
        <v>85</v>
      </c>
      <c r="J219" s="114" t="s">
        <v>86</v>
      </c>
      <c r="K219" s="252" t="s">
        <v>203</v>
      </c>
      <c r="L219" s="85" t="str">
        <f>$T$21</f>
        <v>[leaching/ runoff]</v>
      </c>
      <c r="M219" s="85">
        <f>$U$21</f>
        <v>0</v>
      </c>
      <c r="N219" s="186"/>
      <c r="Q219" s="96" t="s">
        <v>370</v>
      </c>
      <c r="R219" s="85" t="s">
        <v>10</v>
      </c>
      <c r="S219" s="198">
        <f>SUM(S212:S215)</f>
        <v>14.087837407015401</v>
      </c>
      <c r="W219" s="44"/>
      <c r="X219" s="44"/>
      <c r="Y219" s="44"/>
      <c r="Z219" s="48"/>
      <c r="AA219" s="302"/>
      <c r="AC219" s="483"/>
      <c r="AG219" s="96" t="s">
        <v>105</v>
      </c>
      <c r="AH219" s="85" t="s">
        <v>10</v>
      </c>
      <c r="AI219" s="176">
        <f>(AH204)*AO212/100</f>
        <v>5.8760351696522654E-2</v>
      </c>
      <c r="AJ219" s="44"/>
      <c r="AK219" s="85" t="s">
        <v>85</v>
      </c>
      <c r="AL219" s="114" t="s">
        <v>86</v>
      </c>
      <c r="AM219" s="252" t="s">
        <v>203</v>
      </c>
      <c r="AN219" s="85" t="str">
        <f>$T$21</f>
        <v>[leaching/ runoff]</v>
      </c>
      <c r="AO219" s="85">
        <f>$U$21</f>
        <v>0</v>
      </c>
      <c r="AP219" s="186"/>
      <c r="AS219" s="96" t="s">
        <v>370</v>
      </c>
      <c r="AT219" s="85" t="s">
        <v>10</v>
      </c>
      <c r="AU219" s="198">
        <f>SUM(AU212:AU215)</f>
        <v>10.224587716461119</v>
      </c>
      <c r="AY219" s="44"/>
      <c r="AZ219" s="44"/>
      <c r="BA219" s="44"/>
      <c r="BB219" s="48"/>
      <c r="BC219" s="483"/>
    </row>
    <row r="220" spans="1:55" x14ac:dyDescent="0.25">
      <c r="A220" s="302"/>
      <c r="E220" s="96" t="s">
        <v>106</v>
      </c>
      <c r="F220" s="85" t="s">
        <v>10</v>
      </c>
      <c r="G220" s="198">
        <f>(F204)*N214/100</f>
        <v>4.0921174228899695E-2</v>
      </c>
      <c r="H220" s="44"/>
      <c r="I220" s="85" t="s">
        <v>87</v>
      </c>
      <c r="J220" s="114" t="s">
        <v>88</v>
      </c>
      <c r="K220" s="252" t="s">
        <v>203</v>
      </c>
      <c r="L220" s="85" t="str">
        <f>$T$22</f>
        <v>EF5</v>
      </c>
      <c r="M220" s="85">
        <f>$U$22</f>
        <v>1.0999999999999999E-2</v>
      </c>
      <c r="N220" s="186"/>
      <c r="T220" s="44"/>
      <c r="U220" s="44"/>
      <c r="V220" s="65"/>
      <c r="W220" s="85"/>
      <c r="X220" s="85"/>
      <c r="Y220" s="85"/>
      <c r="Z220" s="48"/>
      <c r="AA220" s="302"/>
      <c r="AC220" s="483"/>
      <c r="AG220" s="96" t="s">
        <v>106</v>
      </c>
      <c r="AH220" s="85" t="s">
        <v>10</v>
      </c>
      <c r="AI220" s="198">
        <f>(AH204)*AP214/100</f>
        <v>3.084918464067439E-2</v>
      </c>
      <c r="AJ220" s="44"/>
      <c r="AK220" s="85" t="s">
        <v>87</v>
      </c>
      <c r="AL220" s="114" t="s">
        <v>88</v>
      </c>
      <c r="AM220" s="252" t="s">
        <v>203</v>
      </c>
      <c r="AN220" s="85" t="str">
        <f>$T$22</f>
        <v>EF5</v>
      </c>
      <c r="AO220" s="85">
        <f>$U$22</f>
        <v>1.0999999999999999E-2</v>
      </c>
      <c r="AP220" s="186"/>
      <c r="AV220" s="44"/>
      <c r="AW220" s="44"/>
      <c r="AX220" s="65"/>
      <c r="AY220" s="85"/>
      <c r="AZ220" s="85"/>
      <c r="BA220" s="85"/>
      <c r="BB220" s="48"/>
      <c r="BC220" s="483"/>
    </row>
    <row r="221" spans="1:55" x14ac:dyDescent="0.25">
      <c r="A221" s="302"/>
      <c r="E221" s="96" t="s">
        <v>200</v>
      </c>
      <c r="F221" s="85" t="s">
        <v>10</v>
      </c>
      <c r="G221" s="198">
        <f>F204*M221/100</f>
        <v>4.6767056261599639E-2</v>
      </c>
      <c r="H221" s="44"/>
      <c r="I221" s="85" t="s">
        <v>201</v>
      </c>
      <c r="J221" s="44"/>
      <c r="K221" s="251" t="s">
        <v>203</v>
      </c>
      <c r="L221" s="85" t="str">
        <f>$T$23</f>
        <v>FracLEACH</v>
      </c>
      <c r="M221" s="85">
        <f>$U$23</f>
        <v>0.24</v>
      </c>
      <c r="N221" s="186"/>
      <c r="Q221" s="96" t="s">
        <v>136</v>
      </c>
      <c r="R221" s="85"/>
      <c r="S221" s="85"/>
      <c r="T221" s="85"/>
      <c r="U221" s="85"/>
      <c r="V221" s="186" t="s">
        <v>210</v>
      </c>
      <c r="W221" s="44"/>
      <c r="X221" s="44"/>
      <c r="Y221" s="44"/>
      <c r="Z221" s="48"/>
      <c r="AA221" s="302"/>
      <c r="AC221" s="483"/>
      <c r="AG221" s="96" t="s">
        <v>200</v>
      </c>
      <c r="AH221" s="85" t="s">
        <v>10</v>
      </c>
      <c r="AI221" s="198">
        <f>AH204*AO221/100</f>
        <v>3.525621101791359E-2</v>
      </c>
      <c r="AJ221" s="44"/>
      <c r="AK221" s="85" t="s">
        <v>201</v>
      </c>
      <c r="AL221" s="44"/>
      <c r="AM221" s="251" t="s">
        <v>203</v>
      </c>
      <c r="AN221" s="85" t="str">
        <f>$T$23</f>
        <v>FracLEACH</v>
      </c>
      <c r="AO221" s="85">
        <f>$U$23</f>
        <v>0.24</v>
      </c>
      <c r="AP221" s="186"/>
      <c r="AS221" s="96" t="s">
        <v>136</v>
      </c>
      <c r="AT221" s="85"/>
      <c r="AU221" s="85"/>
      <c r="AV221" s="85"/>
      <c r="AW221" s="85"/>
      <c r="AX221" s="186" t="s">
        <v>210</v>
      </c>
      <c r="AY221" s="44"/>
      <c r="AZ221" s="44"/>
      <c r="BA221" s="44"/>
      <c r="BB221" s="48"/>
      <c r="BC221" s="483"/>
    </row>
    <row r="222" spans="1:55" x14ac:dyDescent="0.25">
      <c r="A222" s="302"/>
      <c r="E222" s="66"/>
      <c r="F222" s="85"/>
      <c r="G222" s="176"/>
      <c r="H222" s="44"/>
      <c r="I222" s="85"/>
      <c r="J222" s="44"/>
      <c r="K222" s="251" t="s">
        <v>203</v>
      </c>
      <c r="L222" s="24"/>
      <c r="M222" s="24"/>
      <c r="N222" s="196"/>
      <c r="Q222" s="96" t="s">
        <v>375</v>
      </c>
      <c r="R222" s="85" t="s">
        <v>10</v>
      </c>
      <c r="S222" s="176">
        <f>(S217*X201/100)</f>
        <v>3.4048016199176037E-2</v>
      </c>
      <c r="T222" s="212" t="s">
        <v>561</v>
      </c>
      <c r="U222" s="212" t="s">
        <v>379</v>
      </c>
      <c r="V222" s="186" t="s">
        <v>210</v>
      </c>
      <c r="W222" s="44"/>
      <c r="X222" s="44"/>
      <c r="Y222" s="44"/>
      <c r="Z222" s="44"/>
      <c r="AA222" s="302"/>
      <c r="AC222" s="483"/>
      <c r="AG222" s="66"/>
      <c r="AH222" s="85"/>
      <c r="AI222" s="176"/>
      <c r="AJ222" s="44"/>
      <c r="AK222" s="85"/>
      <c r="AL222" s="44"/>
      <c r="AM222" s="251" t="s">
        <v>203</v>
      </c>
      <c r="AN222" s="24"/>
      <c r="AO222" s="24"/>
      <c r="AP222" s="196"/>
      <c r="AS222" s="96" t="s">
        <v>375</v>
      </c>
      <c r="AT222" s="85" t="s">
        <v>10</v>
      </c>
      <c r="AU222" s="176">
        <f>(AU217*AZ201/100)</f>
        <v>2.7717762747608014E-2</v>
      </c>
      <c r="AV222" s="212" t="s">
        <v>561</v>
      </c>
      <c r="AW222" s="212" t="s">
        <v>379</v>
      </c>
      <c r="AX222" s="186" t="s">
        <v>210</v>
      </c>
      <c r="AY222" s="44"/>
      <c r="AZ222" s="44"/>
      <c r="BA222" s="44"/>
      <c r="BB222" s="44"/>
      <c r="BC222" s="483"/>
    </row>
    <row r="223" spans="1:55" x14ac:dyDescent="0.25">
      <c r="A223" s="302"/>
      <c r="E223" s="96" t="s">
        <v>89</v>
      </c>
      <c r="F223" s="85"/>
      <c r="G223" s="176"/>
      <c r="H223" s="44"/>
      <c r="I223" s="85"/>
      <c r="J223" s="44"/>
      <c r="K223" s="251"/>
      <c r="L223" s="85"/>
      <c r="M223" s="85"/>
      <c r="N223" s="85"/>
      <c r="O223" s="44"/>
      <c r="Q223" s="96" t="s">
        <v>373</v>
      </c>
      <c r="R223" s="85" t="s">
        <v>10</v>
      </c>
      <c r="S223" s="176">
        <f>(S219*Y206/100)*0.35</f>
        <v>4.9307430924553905E-2</v>
      </c>
      <c r="T223" s="212" t="s">
        <v>141</v>
      </c>
      <c r="U223" s="212" t="s">
        <v>143</v>
      </c>
      <c r="V223" s="184" t="s">
        <v>210</v>
      </c>
      <c r="W223" s="85"/>
      <c r="X223" s="85"/>
      <c r="Y223" s="85"/>
      <c r="Z223" s="44"/>
      <c r="AA223" s="302"/>
      <c r="AC223" s="483"/>
      <c r="AG223" s="96" t="s">
        <v>89</v>
      </c>
      <c r="AH223" s="85"/>
      <c r="AI223" s="176"/>
      <c r="AJ223" s="44"/>
      <c r="AK223" s="85"/>
      <c r="AL223" s="44"/>
      <c r="AM223" s="251"/>
      <c r="AN223" s="85"/>
      <c r="AO223" s="85"/>
      <c r="AP223" s="85"/>
      <c r="AQ223" s="44"/>
      <c r="AS223" s="96" t="s">
        <v>373</v>
      </c>
      <c r="AT223" s="85" t="s">
        <v>10</v>
      </c>
      <c r="AU223" s="176">
        <f>(AU219*BA206/100)*0.35</f>
        <v>3.578605700761392E-2</v>
      </c>
      <c r="AV223" s="212" t="s">
        <v>141</v>
      </c>
      <c r="AW223" s="212" t="s">
        <v>143</v>
      </c>
      <c r="AX223" s="184" t="s">
        <v>210</v>
      </c>
      <c r="AY223" s="85"/>
      <c r="AZ223" s="85"/>
      <c r="BA223" s="85"/>
      <c r="BB223" s="44"/>
      <c r="BC223" s="483"/>
    </row>
    <row r="224" spans="1:55" x14ac:dyDescent="0.25">
      <c r="A224" s="302"/>
      <c r="E224" s="97" t="s">
        <v>236</v>
      </c>
      <c r="F224" s="85"/>
      <c r="G224" s="176"/>
      <c r="H224" s="44"/>
      <c r="I224" s="85"/>
      <c r="J224" s="116"/>
      <c r="K224" s="252"/>
      <c r="L224" s="85"/>
      <c r="M224" s="85"/>
      <c r="N224" s="85"/>
      <c r="O224" s="44"/>
      <c r="Q224" s="97" t="s">
        <v>376</v>
      </c>
      <c r="R224" s="84" t="s">
        <v>10</v>
      </c>
      <c r="S224" s="456">
        <f>S218*X202/100</f>
        <v>0.14658648335988825</v>
      </c>
      <c r="T224" s="458" t="s">
        <v>562</v>
      </c>
      <c r="U224" s="212" t="s">
        <v>380</v>
      </c>
      <c r="V224" s="184" t="s">
        <v>210</v>
      </c>
      <c r="W224" s="85"/>
      <c r="X224" s="85"/>
      <c r="Y224" s="85"/>
      <c r="Z224" s="44"/>
      <c r="AA224" s="302"/>
      <c r="AC224" s="483"/>
      <c r="AG224" s="97" t="s">
        <v>236</v>
      </c>
      <c r="AH224" s="85"/>
      <c r="AI224" s="176"/>
      <c r="AJ224" s="44"/>
      <c r="AK224" s="85"/>
      <c r="AL224" s="116"/>
      <c r="AM224" s="252"/>
      <c r="AN224" s="85"/>
      <c r="AO224" s="85"/>
      <c r="AP224" s="85"/>
      <c r="AQ224" s="44"/>
      <c r="AS224" s="97" t="s">
        <v>376</v>
      </c>
      <c r="AT224" s="84" t="s">
        <v>10</v>
      </c>
      <c r="AU224" s="456">
        <f>AU218*AZ202/100</f>
        <v>0.11903457918516333</v>
      </c>
      <c r="AV224" s="458" t="s">
        <v>562</v>
      </c>
      <c r="AW224" s="212" t="s">
        <v>380</v>
      </c>
      <c r="AX224" s="184" t="s">
        <v>210</v>
      </c>
      <c r="AY224" s="85"/>
      <c r="AZ224" s="85"/>
      <c r="BA224" s="85"/>
      <c r="BB224" s="44"/>
      <c r="BC224" s="483"/>
    </row>
    <row r="225" spans="1:55" x14ac:dyDescent="0.25">
      <c r="A225" s="302"/>
      <c r="E225" s="97" t="s">
        <v>107</v>
      </c>
      <c r="F225" s="85" t="s">
        <v>10</v>
      </c>
      <c r="G225" s="282">
        <f>(F207+F208)*M201/100</f>
        <v>1.4994941023641186E-2</v>
      </c>
      <c r="H225" s="44"/>
      <c r="I225" s="85"/>
      <c r="J225" s="116"/>
      <c r="K225" s="252"/>
      <c r="L225" s="85"/>
      <c r="M225" s="85"/>
      <c r="N225" s="85"/>
      <c r="O225" s="44"/>
      <c r="Q225" s="97" t="s">
        <v>544</v>
      </c>
      <c r="R225" s="84" t="s">
        <v>10</v>
      </c>
      <c r="S225" s="432">
        <f>S218*X202/100*(1+X204*C210)</f>
        <v>0.16857445586387146</v>
      </c>
      <c r="T225" s="458" t="s">
        <v>565</v>
      </c>
      <c r="U225" s="212" t="s">
        <v>380</v>
      </c>
      <c r="V225" s="184" t="s">
        <v>210</v>
      </c>
      <c r="W225" s="44"/>
      <c r="X225" s="44"/>
      <c r="Y225" s="44"/>
      <c r="Z225" s="44"/>
      <c r="AA225" s="302"/>
      <c r="AC225" s="483"/>
      <c r="AG225" s="97" t="s">
        <v>107</v>
      </c>
      <c r="AH225" s="85" t="s">
        <v>10</v>
      </c>
      <c r="AI225" s="282">
        <f>(AH207+AH208)*AO201/100</f>
        <v>1.2204316737618548E-2</v>
      </c>
      <c r="AJ225" s="44"/>
      <c r="AK225" s="85"/>
      <c r="AL225" s="116"/>
      <c r="AM225" s="252"/>
      <c r="AN225" s="85"/>
      <c r="AO225" s="85"/>
      <c r="AP225" s="85"/>
      <c r="AQ225" s="44"/>
      <c r="AS225" s="97" t="s">
        <v>544</v>
      </c>
      <c r="AT225" s="84" t="s">
        <v>10</v>
      </c>
      <c r="AU225" s="432">
        <f>AU218*AZ202/100*(1+AZ204*AE210)</f>
        <v>0.13688976606293782</v>
      </c>
      <c r="AV225" s="458" t="s">
        <v>565</v>
      </c>
      <c r="AW225" s="212" t="s">
        <v>380</v>
      </c>
      <c r="AX225" s="184" t="s">
        <v>210</v>
      </c>
      <c r="AY225" s="44"/>
      <c r="AZ225" s="44"/>
      <c r="BA225" s="44"/>
      <c r="BB225" s="44"/>
      <c r="BC225" s="483"/>
    </row>
    <row r="226" spans="1:55" x14ac:dyDescent="0.25">
      <c r="A226" s="302"/>
      <c r="E226" s="97" t="s">
        <v>108</v>
      </c>
      <c r="F226" s="85" t="s">
        <v>10</v>
      </c>
      <c r="G226" s="282">
        <f>(G207+G208)*N201/100</f>
        <v>0</v>
      </c>
      <c r="H226" s="44"/>
      <c r="I226" s="85"/>
      <c r="J226" s="116"/>
      <c r="K226" s="252"/>
      <c r="L226" s="85"/>
      <c r="M226" s="85"/>
      <c r="N226" s="85"/>
      <c r="O226" s="44"/>
      <c r="Q226" s="96" t="s">
        <v>374</v>
      </c>
      <c r="R226" s="85" t="s">
        <v>10</v>
      </c>
      <c r="S226" s="198">
        <f>(S219*Y208/100)*0.35</f>
        <v>0.1479222927736617</v>
      </c>
      <c r="T226" s="212" t="s">
        <v>142</v>
      </c>
      <c r="U226" s="212" t="s">
        <v>144</v>
      </c>
      <c r="V226" s="184" t="s">
        <v>210</v>
      </c>
      <c r="W226" s="44"/>
      <c r="X226" s="44"/>
      <c r="Y226" s="44"/>
      <c r="Z226" s="44"/>
      <c r="AA226" s="302"/>
      <c r="AC226" s="483"/>
      <c r="AG226" s="97" t="s">
        <v>108</v>
      </c>
      <c r="AH226" s="85" t="s">
        <v>10</v>
      </c>
      <c r="AI226" s="282">
        <f>(AI207+AI208)*AP201/100</f>
        <v>0</v>
      </c>
      <c r="AJ226" s="44"/>
      <c r="AK226" s="85"/>
      <c r="AL226" s="116"/>
      <c r="AM226" s="252"/>
      <c r="AN226" s="85"/>
      <c r="AO226" s="85"/>
      <c r="AP226" s="85"/>
      <c r="AQ226" s="44"/>
      <c r="AS226" s="96" t="s">
        <v>374</v>
      </c>
      <c r="AT226" s="85" t="s">
        <v>10</v>
      </c>
      <c r="AU226" s="198">
        <f>(AU219*BA208/100)*0.35</f>
        <v>0.10735817102284176</v>
      </c>
      <c r="AV226" s="212" t="s">
        <v>142</v>
      </c>
      <c r="AW226" s="212" t="s">
        <v>144</v>
      </c>
      <c r="AX226" s="184" t="s">
        <v>210</v>
      </c>
      <c r="AY226" s="44"/>
      <c r="AZ226" s="44"/>
      <c r="BA226" s="44"/>
      <c r="BB226" s="44"/>
      <c r="BC226" s="483"/>
    </row>
    <row r="227" spans="1:55" x14ac:dyDescent="0.25">
      <c r="A227" s="302"/>
      <c r="E227" s="97" t="s">
        <v>109</v>
      </c>
      <c r="F227" s="85" t="s">
        <v>10</v>
      </c>
      <c r="G227" s="197">
        <f>F209*M203/100</f>
        <v>0.67287233096174492</v>
      </c>
      <c r="H227" s="44"/>
      <c r="I227" s="85"/>
      <c r="J227" s="116"/>
      <c r="K227" s="252"/>
      <c r="L227" s="85"/>
      <c r="M227" s="85"/>
      <c r="N227" s="85"/>
      <c r="O227" s="44"/>
      <c r="Q227" s="97" t="s">
        <v>383</v>
      </c>
      <c r="R227" s="85"/>
      <c r="S227" s="85"/>
      <c r="T227" s="85"/>
      <c r="U227" s="85"/>
      <c r="V227" s="186" t="s">
        <v>210</v>
      </c>
      <c r="W227" s="44"/>
      <c r="X227" s="44"/>
      <c r="Y227" s="44"/>
      <c r="Z227" s="44"/>
      <c r="AA227" s="302"/>
      <c r="AC227" s="483"/>
      <c r="AG227" s="97" t="s">
        <v>109</v>
      </c>
      <c r="AH227" s="85" t="s">
        <v>10</v>
      </c>
      <c r="AI227" s="197">
        <f>AH209*AO203/100</f>
        <v>0.54640150255005271</v>
      </c>
      <c r="AJ227" s="44"/>
      <c r="AK227" s="85"/>
      <c r="AL227" s="116"/>
      <c r="AM227" s="252"/>
      <c r="AN227" s="85"/>
      <c r="AO227" s="85"/>
      <c r="AP227" s="85"/>
      <c r="AQ227" s="44"/>
      <c r="AS227" s="97" t="s">
        <v>383</v>
      </c>
      <c r="AT227" s="85"/>
      <c r="AU227" s="85"/>
      <c r="AV227" s="85"/>
      <c r="AW227" s="85"/>
      <c r="AX227" s="186" t="s">
        <v>210</v>
      </c>
      <c r="AY227" s="44"/>
      <c r="AZ227" s="44"/>
      <c r="BA227" s="44"/>
      <c r="BB227" s="44"/>
      <c r="BC227" s="483"/>
    </row>
    <row r="228" spans="1:55" x14ac:dyDescent="0.25">
      <c r="A228" s="302"/>
      <c r="E228" s="97" t="s">
        <v>110</v>
      </c>
      <c r="F228" s="85" t="s">
        <v>10</v>
      </c>
      <c r="G228" s="197">
        <f>(G207)*N202/100</f>
        <v>0</v>
      </c>
      <c r="H228" s="44"/>
      <c r="I228" s="85"/>
      <c r="J228" s="116"/>
      <c r="K228" s="252"/>
      <c r="L228" s="85"/>
      <c r="M228" s="85"/>
      <c r="N228" s="85"/>
      <c r="O228" s="44"/>
      <c r="Q228" s="96" t="s">
        <v>12</v>
      </c>
      <c r="R228" s="84" t="s">
        <v>13</v>
      </c>
      <c r="S228" s="182">
        <f>SUM(S222:S223)*(44/28)*$U$13</f>
        <v>35.759486816080141</v>
      </c>
      <c r="T228" s="85"/>
      <c r="U228" s="85"/>
      <c r="V228" s="186" t="s">
        <v>210</v>
      </c>
      <c r="AA228" s="302"/>
      <c r="AC228" s="483"/>
      <c r="AG228" s="97" t="s">
        <v>110</v>
      </c>
      <c r="AH228" s="85" t="s">
        <v>10</v>
      </c>
      <c r="AI228" s="197">
        <f>(AI207)*AP202/100</f>
        <v>0</v>
      </c>
      <c r="AJ228" s="44"/>
      <c r="AK228" s="85"/>
      <c r="AL228" s="116"/>
      <c r="AM228" s="252"/>
      <c r="AN228" s="85"/>
      <c r="AO228" s="85"/>
      <c r="AP228" s="85"/>
      <c r="AQ228" s="44"/>
      <c r="AS228" s="96" t="s">
        <v>12</v>
      </c>
      <c r="AT228" s="84" t="s">
        <v>13</v>
      </c>
      <c r="AU228" s="182">
        <f>SUM(AU222:AU223)*(44/28)*$U$13</f>
        <v>27.24313867499021</v>
      </c>
      <c r="AV228" s="85"/>
      <c r="AW228" s="85"/>
      <c r="AX228" s="186" t="s">
        <v>210</v>
      </c>
      <c r="BC228" s="483"/>
    </row>
    <row r="229" spans="1:55" x14ac:dyDescent="0.25">
      <c r="A229" s="302"/>
      <c r="E229" s="96" t="s">
        <v>237</v>
      </c>
      <c r="F229" s="85"/>
      <c r="G229" s="176"/>
      <c r="H229" s="44"/>
      <c r="I229" s="85"/>
      <c r="J229" s="44"/>
      <c r="K229" s="251"/>
      <c r="L229" s="85"/>
      <c r="M229" s="85"/>
      <c r="N229" s="85"/>
      <c r="O229" s="44"/>
      <c r="Q229" s="96" t="s">
        <v>14</v>
      </c>
      <c r="R229" s="84" t="s">
        <v>13</v>
      </c>
      <c r="S229" s="176">
        <f>SUM(S224,S226)*(44/28)*X213*$U$13</f>
        <v>1.2634426496129294</v>
      </c>
      <c r="T229" s="85"/>
      <c r="U229" s="85"/>
      <c r="V229" s="186"/>
      <c r="AA229" s="302"/>
      <c r="AC229" s="483"/>
      <c r="AG229" s="96" t="s">
        <v>237</v>
      </c>
      <c r="AH229" s="85"/>
      <c r="AI229" s="176"/>
      <c r="AJ229" s="44"/>
      <c r="AK229" s="85"/>
      <c r="AL229" s="44"/>
      <c r="AM229" s="251"/>
      <c r="AN229" s="85"/>
      <c r="AO229" s="85"/>
      <c r="AP229" s="85"/>
      <c r="AQ229" s="44"/>
      <c r="AS229" s="96" t="s">
        <v>14</v>
      </c>
      <c r="AT229" s="84" t="s">
        <v>13</v>
      </c>
      <c r="AU229" s="176">
        <f>SUM(AU224,AU226)*(44/28)*AZ213*$U$13</f>
        <v>0.97122489839234183</v>
      </c>
      <c r="AV229" s="85"/>
      <c r="AW229" s="85"/>
      <c r="AX229" s="186"/>
      <c r="BC229" s="483"/>
    </row>
    <row r="230" spans="1:55" x14ac:dyDescent="0.25">
      <c r="A230" s="302"/>
      <c r="E230" s="97" t="s">
        <v>107</v>
      </c>
      <c r="F230" s="85" t="s">
        <v>10</v>
      </c>
      <c r="G230" s="197">
        <f>((F212)+(F213*C208/365))*M205/100</f>
        <v>1.009388964312859E-2</v>
      </c>
      <c r="H230" s="44"/>
      <c r="I230" s="85" t="s">
        <v>111</v>
      </c>
      <c r="J230" s="114" t="s">
        <v>11</v>
      </c>
      <c r="K230" s="252" t="s">
        <v>203</v>
      </c>
      <c r="L230" s="85"/>
      <c r="M230" s="85"/>
      <c r="N230" s="85"/>
      <c r="O230" s="44"/>
      <c r="Q230" s="96" t="s">
        <v>545</v>
      </c>
      <c r="R230" s="84" t="s">
        <v>13</v>
      </c>
      <c r="S230" s="258">
        <f>SUM(S225,S226)*(44/28)*X213*$U$13</f>
        <v>1.3577710516550174</v>
      </c>
      <c r="T230" s="85"/>
      <c r="U230" s="85"/>
      <c r="V230" s="186"/>
      <c r="AA230" s="302"/>
      <c r="AC230" s="483"/>
      <c r="AG230" s="97" t="s">
        <v>107</v>
      </c>
      <c r="AH230" s="85" t="s">
        <v>10</v>
      </c>
      <c r="AI230" s="197">
        <f>((AH212)+(AH213*AE208/365))*AO205/100</f>
        <v>7.24711004257113E-3</v>
      </c>
      <c r="AJ230" s="44"/>
      <c r="AK230" s="85" t="s">
        <v>111</v>
      </c>
      <c r="AL230" s="114" t="s">
        <v>11</v>
      </c>
      <c r="AM230" s="252" t="s">
        <v>203</v>
      </c>
      <c r="AN230" s="85"/>
      <c r="AO230" s="85"/>
      <c r="AP230" s="85"/>
      <c r="AQ230" s="44"/>
      <c r="AS230" s="96" t="s">
        <v>545</v>
      </c>
      <c r="AT230" s="84" t="s">
        <v>13</v>
      </c>
      <c r="AU230" s="258">
        <f>SUM(AU225,AU226)*(44/28)*AZ213*$U$13</f>
        <v>1.0478236500979945</v>
      </c>
      <c r="AV230" s="85"/>
      <c r="AW230" s="85"/>
      <c r="AX230" s="186"/>
      <c r="BC230" s="483"/>
    </row>
    <row r="231" spans="1:55" x14ac:dyDescent="0.25">
      <c r="A231" s="302"/>
      <c r="E231" s="97" t="s">
        <v>108</v>
      </c>
      <c r="F231" s="85" t="s">
        <v>10</v>
      </c>
      <c r="G231" s="197">
        <f>((G212)+(G213*C208/365))*N205/100</f>
        <v>8.3612608710450745E-2</v>
      </c>
      <c r="H231" s="44"/>
      <c r="I231" s="85" t="s">
        <v>140</v>
      </c>
      <c r="J231" s="116"/>
      <c r="K231" s="251" t="s">
        <v>203</v>
      </c>
      <c r="L231" s="85"/>
      <c r="M231" s="85"/>
      <c r="N231" s="85"/>
      <c r="O231" s="44"/>
      <c r="Q231" s="122"/>
      <c r="R231" s="98"/>
      <c r="S231" s="199"/>
      <c r="T231" s="101"/>
      <c r="U231" s="101"/>
      <c r="V231" s="196" t="s">
        <v>210</v>
      </c>
      <c r="AA231" s="302"/>
      <c r="AC231" s="483"/>
      <c r="AG231" s="97" t="s">
        <v>108</v>
      </c>
      <c r="AH231" s="85" t="s">
        <v>10</v>
      </c>
      <c r="AI231" s="197">
        <f>((AI212)+(AI213*AE208/365))*AP205/100</f>
        <v>6.0091873264488942E-2</v>
      </c>
      <c r="AJ231" s="44"/>
      <c r="AK231" s="85" t="s">
        <v>140</v>
      </c>
      <c r="AL231" s="116"/>
      <c r="AM231" s="251" t="s">
        <v>203</v>
      </c>
      <c r="AN231" s="85"/>
      <c r="AO231" s="85"/>
      <c r="AP231" s="85"/>
      <c r="AQ231" s="44"/>
      <c r="AS231" s="122"/>
      <c r="AT231" s="98"/>
      <c r="AU231" s="199"/>
      <c r="AV231" s="101"/>
      <c r="AW231" s="101"/>
      <c r="AX231" s="196" t="s">
        <v>210</v>
      </c>
      <c r="BC231" s="483"/>
    </row>
    <row r="232" spans="1:55" x14ac:dyDescent="0.25">
      <c r="A232" s="302"/>
      <c r="E232" s="97" t="s">
        <v>109</v>
      </c>
      <c r="F232" s="85" t="s">
        <v>10</v>
      </c>
      <c r="G232" s="197">
        <f>F214*M207/100</f>
        <v>0.45828061460097208</v>
      </c>
      <c r="H232" s="44"/>
      <c r="I232" s="85" t="s">
        <v>112</v>
      </c>
      <c r="J232" s="114" t="s">
        <v>90</v>
      </c>
      <c r="K232" s="252" t="s">
        <v>203</v>
      </c>
      <c r="L232" s="85"/>
      <c r="M232" s="85"/>
      <c r="N232" s="85"/>
      <c r="O232" s="44"/>
      <c r="AA232" s="302"/>
      <c r="AC232" s="483"/>
      <c r="AG232" s="97" t="s">
        <v>109</v>
      </c>
      <c r="AH232" s="85" t="s">
        <v>10</v>
      </c>
      <c r="AI232" s="197">
        <f>AH214*AO207/100</f>
        <v>0.32784090153003165</v>
      </c>
      <c r="AJ232" s="44"/>
      <c r="AK232" s="85" t="s">
        <v>112</v>
      </c>
      <c r="AL232" s="114" t="s">
        <v>90</v>
      </c>
      <c r="AM232" s="252" t="s">
        <v>203</v>
      </c>
      <c r="AN232" s="85"/>
      <c r="AO232" s="85"/>
      <c r="AP232" s="85"/>
      <c r="AQ232" s="44"/>
      <c r="BC232" s="483"/>
    </row>
    <row r="233" spans="1:55" x14ac:dyDescent="0.25">
      <c r="A233" s="302"/>
      <c r="E233" s="97" t="s">
        <v>110</v>
      </c>
      <c r="F233" s="85" t="s">
        <v>10</v>
      </c>
      <c r="G233" s="197">
        <f>(G212)*N206/100</f>
        <v>0.45422503394078662</v>
      </c>
      <c r="H233" s="44"/>
      <c r="I233" s="44"/>
      <c r="J233" s="116"/>
      <c r="K233" s="252" t="s">
        <v>203</v>
      </c>
      <c r="L233" s="85"/>
      <c r="M233" s="85"/>
      <c r="N233" s="85"/>
      <c r="O233" s="44"/>
      <c r="AA233" s="302"/>
      <c r="AC233" s="483"/>
      <c r="AG233" s="97" t="s">
        <v>110</v>
      </c>
      <c r="AH233" s="85" t="s">
        <v>10</v>
      </c>
      <c r="AI233" s="197">
        <f>(AI212)*AP206/100</f>
        <v>0.32611995191570081</v>
      </c>
      <c r="AJ233" s="44"/>
      <c r="AK233" s="44"/>
      <c r="AL233" s="116"/>
      <c r="AM233" s="252" t="s">
        <v>203</v>
      </c>
      <c r="AN233" s="85"/>
      <c r="AO233" s="85"/>
      <c r="AP233" s="85"/>
      <c r="AQ233" s="44"/>
      <c r="BC233" s="483"/>
    </row>
    <row r="234" spans="1:55" x14ac:dyDescent="0.25">
      <c r="A234" s="302"/>
      <c r="E234" s="97"/>
      <c r="F234" s="85"/>
      <c r="G234" s="176"/>
      <c r="H234" s="44"/>
      <c r="I234" s="85"/>
      <c r="J234" s="116"/>
      <c r="K234" s="252"/>
      <c r="L234" s="44"/>
      <c r="M234" s="44"/>
      <c r="N234" s="44"/>
      <c r="O234" s="44"/>
      <c r="V234" s="56" t="s">
        <v>210</v>
      </c>
      <c r="AA234" s="302"/>
      <c r="AC234" s="483"/>
      <c r="AG234" s="97"/>
      <c r="AH234" s="85"/>
      <c r="AI234" s="176"/>
      <c r="AJ234" s="44"/>
      <c r="AK234" s="85"/>
      <c r="AL234" s="116"/>
      <c r="AM234" s="252"/>
      <c r="AN234" s="44"/>
      <c r="AO234" s="44"/>
      <c r="AP234" s="44"/>
      <c r="AQ234" s="44"/>
      <c r="AX234" s="56" t="s">
        <v>210</v>
      </c>
      <c r="BC234" s="483"/>
    </row>
    <row r="235" spans="1:55" x14ac:dyDescent="0.25">
      <c r="A235" s="302"/>
      <c r="E235" s="97" t="s">
        <v>239</v>
      </c>
      <c r="F235" s="85" t="s">
        <v>10</v>
      </c>
      <c r="G235" s="176">
        <f>_xlfn.AGGREGATE(9,6,G225,G226,G230,G231)</f>
        <v>0.10870143937722052</v>
      </c>
      <c r="H235" s="44"/>
      <c r="I235" s="85" t="s">
        <v>113</v>
      </c>
      <c r="J235" s="100"/>
      <c r="K235" s="252" t="s">
        <v>203</v>
      </c>
      <c r="L235" s="44"/>
      <c r="M235" s="44"/>
      <c r="N235" s="44"/>
      <c r="O235" s="44"/>
      <c r="V235" s="56" t="s">
        <v>210</v>
      </c>
      <c r="AA235" s="302"/>
      <c r="AC235" s="483"/>
      <c r="AG235" s="97" t="s">
        <v>239</v>
      </c>
      <c r="AH235" s="85" t="s">
        <v>10</v>
      </c>
      <c r="AI235" s="176">
        <f>_xlfn.AGGREGATE(9,6,AI225,AI226,AI230,AI231)</f>
        <v>7.9543300044678619E-2</v>
      </c>
      <c r="AJ235" s="44"/>
      <c r="AK235" s="85" t="s">
        <v>113</v>
      </c>
      <c r="AL235" s="100"/>
      <c r="AM235" s="252" t="s">
        <v>203</v>
      </c>
      <c r="AN235" s="44"/>
      <c r="AO235" s="44"/>
      <c r="AP235" s="44"/>
      <c r="AQ235" s="44"/>
      <c r="AX235" s="56" t="s">
        <v>210</v>
      </c>
      <c r="BC235" s="483"/>
    </row>
    <row r="236" spans="1:55" x14ac:dyDescent="0.25">
      <c r="A236" s="302"/>
      <c r="E236" s="97" t="s">
        <v>240</v>
      </c>
      <c r="F236" s="85" t="s">
        <v>10</v>
      </c>
      <c r="G236" s="176">
        <f>_xlfn.AGGREGATE(9,6,G227,G228,G232,G233)</f>
        <v>1.5853779795035035</v>
      </c>
      <c r="H236" s="44"/>
      <c r="I236" s="85" t="s">
        <v>114</v>
      </c>
      <c r="J236" s="100"/>
      <c r="K236" s="252" t="s">
        <v>203</v>
      </c>
      <c r="L236" s="85"/>
      <c r="M236" s="85"/>
      <c r="N236" s="85"/>
      <c r="O236" s="44"/>
      <c r="V236" s="56" t="s">
        <v>210</v>
      </c>
      <c r="AA236" s="302"/>
      <c r="AC236" s="483"/>
      <c r="AG236" s="97" t="s">
        <v>240</v>
      </c>
      <c r="AH236" s="85" t="s">
        <v>10</v>
      </c>
      <c r="AI236" s="176">
        <f>_xlfn.AGGREGATE(9,6,AI227,AI228,AI232,AI233)</f>
        <v>1.2003623559957852</v>
      </c>
      <c r="AJ236" s="44"/>
      <c r="AK236" s="85" t="s">
        <v>114</v>
      </c>
      <c r="AL236" s="100"/>
      <c r="AM236" s="252" t="s">
        <v>203</v>
      </c>
      <c r="AN236" s="85"/>
      <c r="AO236" s="85"/>
      <c r="AP236" s="85"/>
      <c r="AQ236" s="44"/>
      <c r="AX236" s="56" t="s">
        <v>210</v>
      </c>
      <c r="BC236" s="483"/>
    </row>
    <row r="237" spans="1:55" x14ac:dyDescent="0.25">
      <c r="A237" s="302"/>
      <c r="E237" s="97"/>
      <c r="F237" s="85"/>
      <c r="G237" s="85"/>
      <c r="H237" s="44"/>
      <c r="I237" s="85"/>
      <c r="J237" s="100"/>
      <c r="K237" s="252" t="s">
        <v>203</v>
      </c>
      <c r="L237" s="44"/>
      <c r="M237" s="44"/>
      <c r="N237" s="85"/>
      <c r="O237" s="44"/>
      <c r="V237" s="56" t="s">
        <v>210</v>
      </c>
      <c r="AA237" s="302"/>
      <c r="AC237" s="483"/>
      <c r="AG237" s="97"/>
      <c r="AH237" s="85"/>
      <c r="AI237" s="85"/>
      <c r="AJ237" s="44"/>
      <c r="AK237" s="85"/>
      <c r="AL237" s="100"/>
      <c r="AM237" s="252" t="s">
        <v>203</v>
      </c>
      <c r="AN237" s="44"/>
      <c r="AO237" s="44"/>
      <c r="AP237" s="85"/>
      <c r="AQ237" s="44"/>
      <c r="AX237" s="56" t="s">
        <v>210</v>
      </c>
      <c r="BC237" s="483"/>
    </row>
    <row r="238" spans="1:55" x14ac:dyDescent="0.25">
      <c r="A238" s="302"/>
      <c r="E238" s="97" t="s">
        <v>91</v>
      </c>
      <c r="F238" s="85"/>
      <c r="G238" s="85"/>
      <c r="H238" s="44"/>
      <c r="I238" s="85"/>
      <c r="J238" s="85"/>
      <c r="K238" s="251" t="s">
        <v>203</v>
      </c>
      <c r="L238" s="99"/>
      <c r="M238" s="85"/>
      <c r="N238" s="85"/>
      <c r="O238" s="44"/>
      <c r="V238" s="56" t="s">
        <v>210</v>
      </c>
      <c r="AA238" s="302"/>
      <c r="AC238" s="483"/>
      <c r="AG238" s="97" t="s">
        <v>91</v>
      </c>
      <c r="AH238" s="85"/>
      <c r="AI238" s="85"/>
      <c r="AJ238" s="44"/>
      <c r="AK238" s="85"/>
      <c r="AL238" s="85"/>
      <c r="AM238" s="251" t="s">
        <v>203</v>
      </c>
      <c r="AN238" s="99"/>
      <c r="AO238" s="85"/>
      <c r="AP238" s="85"/>
      <c r="AQ238" s="44"/>
      <c r="AX238" s="56" t="s">
        <v>210</v>
      </c>
      <c r="BC238" s="483"/>
    </row>
    <row r="239" spans="1:55" x14ac:dyDescent="0.25">
      <c r="A239" s="302"/>
      <c r="E239" s="97" t="s">
        <v>190</v>
      </c>
      <c r="F239" s="85" t="s">
        <v>13</v>
      </c>
      <c r="G239" s="176">
        <f>G219*(44/28)*$U$13</f>
        <v>33.438445227043751</v>
      </c>
      <c r="H239" s="44"/>
      <c r="I239" s="85" t="s">
        <v>173</v>
      </c>
      <c r="J239" s="85"/>
      <c r="K239" s="251" t="s">
        <v>203</v>
      </c>
      <c r="L239" s="85"/>
      <c r="M239" s="85"/>
      <c r="N239" s="85"/>
      <c r="O239" s="44"/>
      <c r="V239" s="56" t="s">
        <v>210</v>
      </c>
      <c r="AA239" s="302"/>
      <c r="AC239" s="483"/>
      <c r="AG239" s="97" t="s">
        <v>190</v>
      </c>
      <c r="AH239" s="85" t="s">
        <v>13</v>
      </c>
      <c r="AI239" s="176">
        <f>AI219*(44/28)*$U$13</f>
        <v>25.208190877808217</v>
      </c>
      <c r="AJ239" s="44"/>
      <c r="AK239" s="85" t="s">
        <v>173</v>
      </c>
      <c r="AL239" s="85"/>
      <c r="AM239" s="251" t="s">
        <v>203</v>
      </c>
      <c r="AN239" s="85"/>
      <c r="AO239" s="85"/>
      <c r="AP239" s="85"/>
      <c r="AQ239" s="44"/>
      <c r="AX239" s="56" t="s">
        <v>210</v>
      </c>
      <c r="BC239" s="483"/>
    </row>
    <row r="240" spans="1:55" x14ac:dyDescent="0.25">
      <c r="A240" s="302"/>
      <c r="E240" s="97" t="s">
        <v>189</v>
      </c>
      <c r="F240" s="85" t="s">
        <v>13</v>
      </c>
      <c r="G240" s="182">
        <f>G220*(44/28)*M218*$U$13</f>
        <v>0.17555183744197969</v>
      </c>
      <c r="H240" s="44"/>
      <c r="I240" s="85" t="s">
        <v>174</v>
      </c>
      <c r="J240" s="85"/>
      <c r="K240" s="251" t="s">
        <v>203</v>
      </c>
      <c r="L240" s="85"/>
      <c r="M240" s="85"/>
      <c r="N240" s="85"/>
      <c r="O240" s="44"/>
      <c r="V240" s="56" t="s">
        <v>210</v>
      </c>
      <c r="AA240" s="302"/>
      <c r="AC240" s="483"/>
      <c r="AG240" s="97" t="s">
        <v>189</v>
      </c>
      <c r="AH240" s="85" t="s">
        <v>13</v>
      </c>
      <c r="AI240" s="182">
        <f>AI220*(44/28)*AO218*$U$13</f>
        <v>0.13234300210849312</v>
      </c>
      <c r="AJ240" s="44"/>
      <c r="AK240" s="85" t="s">
        <v>174</v>
      </c>
      <c r="AL240" s="85"/>
      <c r="AM240" s="251" t="s">
        <v>203</v>
      </c>
      <c r="AN240" s="85"/>
      <c r="AO240" s="85"/>
      <c r="AP240" s="85"/>
      <c r="AQ240" s="44"/>
      <c r="AX240" s="56" t="s">
        <v>210</v>
      </c>
      <c r="BC240" s="483"/>
    </row>
    <row r="241" spans="1:55" x14ac:dyDescent="0.25">
      <c r="A241" s="302"/>
      <c r="E241" s="97" t="s">
        <v>198</v>
      </c>
      <c r="F241" s="85" t="s">
        <v>13</v>
      </c>
      <c r="G241" s="182">
        <f>G221*(44/28)*M220*$U$13</f>
        <v>0.2206937384984887</v>
      </c>
      <c r="H241" s="44"/>
      <c r="I241" s="85" t="s">
        <v>199</v>
      </c>
      <c r="J241" s="85"/>
      <c r="K241" s="251" t="s">
        <v>203</v>
      </c>
      <c r="L241" s="85"/>
      <c r="M241" s="85"/>
      <c r="N241" s="85"/>
      <c r="O241" s="44"/>
      <c r="V241" s="56" t="s">
        <v>210</v>
      </c>
      <c r="AA241" s="302"/>
      <c r="AC241" s="483"/>
      <c r="AG241" s="97" t="s">
        <v>198</v>
      </c>
      <c r="AH241" s="85" t="s">
        <v>13</v>
      </c>
      <c r="AI241" s="182">
        <f>AI221*(44/28)*AO220*$U$13</f>
        <v>0.16637405979353423</v>
      </c>
      <c r="AJ241" s="44"/>
      <c r="AK241" s="85" t="s">
        <v>199</v>
      </c>
      <c r="AL241" s="85"/>
      <c r="AM241" s="251" t="s">
        <v>203</v>
      </c>
      <c r="AN241" s="85"/>
      <c r="AO241" s="85"/>
      <c r="AP241" s="85"/>
      <c r="AQ241" s="44"/>
      <c r="AX241" s="56" t="s">
        <v>210</v>
      </c>
      <c r="BC241" s="483"/>
    </row>
    <row r="242" spans="1:55" x14ac:dyDescent="0.25">
      <c r="A242" s="302"/>
      <c r="E242" s="66"/>
      <c r="F242" s="44"/>
      <c r="G242" s="44"/>
      <c r="H242" s="44"/>
      <c r="I242" s="44"/>
      <c r="J242" s="44"/>
      <c r="K242" s="251" t="s">
        <v>203</v>
      </c>
      <c r="L242" s="85"/>
      <c r="M242" s="85"/>
      <c r="N242" s="85"/>
      <c r="O242" s="44"/>
      <c r="V242" s="56" t="s">
        <v>210</v>
      </c>
      <c r="AA242" s="302"/>
      <c r="AC242" s="483"/>
      <c r="AG242" s="66"/>
      <c r="AH242" s="44"/>
      <c r="AI242" s="44"/>
      <c r="AJ242" s="44"/>
      <c r="AK242" s="44"/>
      <c r="AL242" s="44"/>
      <c r="AM242" s="251" t="s">
        <v>203</v>
      </c>
      <c r="AN242" s="85"/>
      <c r="AO242" s="85"/>
      <c r="AP242" s="85"/>
      <c r="AQ242" s="44"/>
      <c r="AX242" s="56" t="s">
        <v>210</v>
      </c>
      <c r="BC242" s="483"/>
    </row>
    <row r="243" spans="1:55" x14ac:dyDescent="0.25">
      <c r="A243" s="302"/>
      <c r="E243" s="97" t="s">
        <v>15</v>
      </c>
      <c r="F243" s="85"/>
      <c r="G243" s="85"/>
      <c r="H243" s="44"/>
      <c r="I243" s="85"/>
      <c r="J243" s="85"/>
      <c r="K243" s="65"/>
      <c r="L243" s="85"/>
      <c r="M243" s="85"/>
      <c r="N243" s="85"/>
      <c r="O243" s="44"/>
      <c r="V243" s="56" t="s">
        <v>210</v>
      </c>
      <c r="AA243" s="302"/>
      <c r="AC243" s="483"/>
      <c r="AG243" s="97" t="s">
        <v>15</v>
      </c>
      <c r="AH243" s="85"/>
      <c r="AI243" s="85"/>
      <c r="AJ243" s="44"/>
      <c r="AK243" s="85"/>
      <c r="AL243" s="85"/>
      <c r="AM243" s="65"/>
      <c r="AN243" s="85"/>
      <c r="AO243" s="85"/>
      <c r="AP243" s="85"/>
      <c r="AQ243" s="44"/>
      <c r="AX243" s="56" t="s">
        <v>210</v>
      </c>
      <c r="BC243" s="483"/>
    </row>
    <row r="244" spans="1:55" x14ac:dyDescent="0.25">
      <c r="A244" s="302"/>
      <c r="E244" s="96" t="s">
        <v>186</v>
      </c>
      <c r="F244" s="84" t="s">
        <v>13</v>
      </c>
      <c r="G244" s="182">
        <f>G235*(44/28)*$U$13</f>
        <v>46.632917492827602</v>
      </c>
      <c r="H244" s="44"/>
      <c r="I244" s="85" t="s">
        <v>175</v>
      </c>
      <c r="J244" s="85"/>
      <c r="K244" s="251" t="s">
        <v>203</v>
      </c>
      <c r="L244" s="85"/>
      <c r="M244" s="85"/>
      <c r="N244" s="85"/>
      <c r="O244" s="44"/>
      <c r="AA244" s="302"/>
      <c r="AC244" s="483"/>
      <c r="AG244" s="96" t="s">
        <v>186</v>
      </c>
      <c r="AH244" s="84" t="s">
        <v>13</v>
      </c>
      <c r="AI244" s="182">
        <f>AI235*(44/28)*$U$13</f>
        <v>34.124075719167131</v>
      </c>
      <c r="AJ244" s="44"/>
      <c r="AK244" s="85" t="s">
        <v>175</v>
      </c>
      <c r="AL244" s="85"/>
      <c r="AM244" s="251" t="s">
        <v>203</v>
      </c>
      <c r="AN244" s="85"/>
      <c r="AO244" s="85"/>
      <c r="AP244" s="85"/>
      <c r="AQ244" s="44"/>
      <c r="BC244" s="483"/>
    </row>
    <row r="245" spans="1:55" x14ac:dyDescent="0.25">
      <c r="A245" s="302"/>
      <c r="E245" s="96" t="s">
        <v>187</v>
      </c>
      <c r="F245" s="84" t="s">
        <v>13</v>
      </c>
      <c r="G245" s="182">
        <f>G236*(44/28)*M218*$U$13</f>
        <v>6.8012715320700305</v>
      </c>
      <c r="H245" s="44"/>
      <c r="I245" s="85" t="s">
        <v>176</v>
      </c>
      <c r="J245" s="85"/>
      <c r="K245" s="251" t="s">
        <v>203</v>
      </c>
      <c r="L245" s="195"/>
      <c r="M245" s="195"/>
      <c r="N245" s="195"/>
      <c r="AA245" s="302"/>
      <c r="AC245" s="483"/>
      <c r="AG245" s="96" t="s">
        <v>187</v>
      </c>
      <c r="AH245" s="84" t="s">
        <v>13</v>
      </c>
      <c r="AI245" s="182">
        <f>AI236*(44/28)*AO218*$U$13</f>
        <v>5.1495545072219189</v>
      </c>
      <c r="AJ245" s="44"/>
      <c r="AK245" s="85" t="s">
        <v>176</v>
      </c>
      <c r="AL245" s="85"/>
      <c r="AM245" s="251" t="s">
        <v>203</v>
      </c>
      <c r="AN245" s="195"/>
      <c r="AO245" s="195"/>
      <c r="AP245" s="195"/>
      <c r="BC245" s="483"/>
    </row>
    <row r="246" spans="1:55" x14ac:dyDescent="0.25">
      <c r="A246" s="302"/>
      <c r="E246" s="96"/>
      <c r="F246" s="84"/>
      <c r="G246" s="182"/>
      <c r="H246" s="44"/>
      <c r="I246" s="85"/>
      <c r="J246" s="85"/>
      <c r="K246" s="251" t="s">
        <v>203</v>
      </c>
      <c r="L246" s="195"/>
      <c r="M246" s="195"/>
      <c r="N246" s="195"/>
      <c r="AA246" s="302"/>
      <c r="AC246" s="483"/>
      <c r="AG246" s="96"/>
      <c r="AH246" s="84"/>
      <c r="AI246" s="182"/>
      <c r="AJ246" s="44"/>
      <c r="AK246" s="85"/>
      <c r="AL246" s="85"/>
      <c r="AM246" s="251" t="s">
        <v>203</v>
      </c>
      <c r="AN246" s="195"/>
      <c r="AO246" s="195"/>
      <c r="AP246" s="195"/>
      <c r="BC246" s="483"/>
    </row>
    <row r="247" spans="1:55" x14ac:dyDescent="0.25">
      <c r="A247" s="302"/>
      <c r="E247" s="97" t="s">
        <v>92</v>
      </c>
      <c r="F247" s="85"/>
      <c r="G247" s="85"/>
      <c r="H247" s="44"/>
      <c r="I247" s="85"/>
      <c r="J247" s="85"/>
      <c r="K247" s="251" t="s">
        <v>203</v>
      </c>
      <c r="L247" s="195"/>
      <c r="M247" s="195"/>
      <c r="N247" s="195"/>
      <c r="AA247" s="302"/>
      <c r="AC247" s="483"/>
      <c r="AG247" s="97" t="s">
        <v>92</v>
      </c>
      <c r="AH247" s="85"/>
      <c r="AI247" s="85"/>
      <c r="AJ247" s="44"/>
      <c r="AK247" s="85"/>
      <c r="AL247" s="85"/>
      <c r="AM247" s="251" t="s">
        <v>203</v>
      </c>
      <c r="AN247" s="195"/>
      <c r="AO247" s="195"/>
      <c r="AP247" s="195"/>
      <c r="BC247" s="483"/>
    </row>
    <row r="248" spans="1:55" x14ac:dyDescent="0.25">
      <c r="A248" s="302"/>
      <c r="E248" s="97" t="s">
        <v>191</v>
      </c>
      <c r="F248" s="84" t="s">
        <v>13</v>
      </c>
      <c r="G248" s="176">
        <f>G239+G244</f>
        <v>80.07136271987136</v>
      </c>
      <c r="H248" s="44"/>
      <c r="I248" s="85"/>
      <c r="J248" s="85"/>
      <c r="K248" s="251" t="s">
        <v>203</v>
      </c>
      <c r="L248" s="195"/>
      <c r="M248" s="195"/>
      <c r="N248" s="195"/>
      <c r="AA248" s="302"/>
      <c r="AC248" s="483"/>
      <c r="AG248" s="97" t="s">
        <v>191</v>
      </c>
      <c r="AH248" s="84" t="s">
        <v>13</v>
      </c>
      <c r="AI248" s="176">
        <f>AI239+AI244</f>
        <v>59.332266596975344</v>
      </c>
      <c r="AJ248" s="44"/>
      <c r="AK248" s="85"/>
      <c r="AL248" s="85"/>
      <c r="AM248" s="251" t="s">
        <v>203</v>
      </c>
      <c r="AN248" s="195"/>
      <c r="AO248" s="195"/>
      <c r="AP248" s="195"/>
      <c r="BC248" s="483"/>
    </row>
    <row r="249" spans="1:55" x14ac:dyDescent="0.25">
      <c r="A249" s="302"/>
      <c r="E249" s="97" t="s">
        <v>192</v>
      </c>
      <c r="F249" s="84" t="s">
        <v>13</v>
      </c>
      <c r="G249" s="176">
        <f>G240+G241+G245</f>
        <v>7.1975171080104987</v>
      </c>
      <c r="H249" s="44"/>
      <c r="I249" s="85"/>
      <c r="J249" s="85"/>
      <c r="K249" s="251" t="s">
        <v>203</v>
      </c>
      <c r="L249" s="195"/>
      <c r="M249" s="195"/>
      <c r="N249" s="195"/>
      <c r="AA249" s="302"/>
      <c r="AC249" s="483"/>
      <c r="AG249" s="97" t="s">
        <v>192</v>
      </c>
      <c r="AH249" s="84" t="s">
        <v>13</v>
      </c>
      <c r="AI249" s="176">
        <f>AI240+AI241+AI245</f>
        <v>5.4482715691239463</v>
      </c>
      <c r="AJ249" s="44"/>
      <c r="AK249" s="85"/>
      <c r="AL249" s="85"/>
      <c r="AM249" s="251" t="s">
        <v>203</v>
      </c>
      <c r="AN249" s="195"/>
      <c r="AO249" s="195"/>
      <c r="AP249" s="195"/>
      <c r="BC249" s="483"/>
    </row>
    <row r="250" spans="1:55" x14ac:dyDescent="0.25">
      <c r="A250" s="302"/>
      <c r="E250" s="115"/>
      <c r="F250" s="24"/>
      <c r="G250" s="24"/>
      <c r="H250" s="24"/>
      <c r="I250" s="24"/>
      <c r="J250" s="24"/>
      <c r="K250" s="253" t="s">
        <v>203</v>
      </c>
      <c r="L250" s="195"/>
      <c r="M250" s="195"/>
      <c r="N250" s="195"/>
      <c r="AA250" s="302"/>
      <c r="AC250" s="483"/>
      <c r="AG250" s="115"/>
      <c r="AH250" s="24"/>
      <c r="AI250" s="24"/>
      <c r="AJ250" s="24"/>
      <c r="AK250" s="24"/>
      <c r="AL250" s="24"/>
      <c r="AM250" s="253" t="s">
        <v>203</v>
      </c>
      <c r="AN250" s="195"/>
      <c r="AO250" s="195"/>
      <c r="AP250" s="195"/>
      <c r="BC250" s="483"/>
    </row>
    <row r="251" spans="1:55" x14ac:dyDescent="0.25">
      <c r="E251" s="44"/>
      <c r="F251" s="44"/>
      <c r="G251" s="44"/>
      <c r="I251" s="44"/>
      <c r="J251" s="44"/>
      <c r="K251" s="208" t="s">
        <v>203</v>
      </c>
      <c r="L251" s="195"/>
      <c r="M251" s="195"/>
      <c r="N251" s="195"/>
      <c r="P251" s="44"/>
      <c r="Q251" s="44"/>
      <c r="R251" s="44"/>
      <c r="S251" s="44"/>
      <c r="T251" s="44"/>
      <c r="U251" s="44" t="s">
        <v>210</v>
      </c>
      <c r="V251" s="44"/>
      <c r="AG251" s="44"/>
      <c r="AH251" s="44"/>
      <c r="AI251" s="44"/>
      <c r="AK251" s="44"/>
      <c r="AL251" s="44"/>
      <c r="AM251" s="208" t="s">
        <v>203</v>
      </c>
      <c r="AN251" s="195"/>
      <c r="AO251" s="195"/>
      <c r="AP251" s="195"/>
      <c r="AR251" s="44"/>
      <c r="AS251" s="44"/>
      <c r="AT251" s="44"/>
      <c r="AU251" s="44"/>
      <c r="AV251" s="44"/>
      <c r="AW251" s="44" t="s">
        <v>210</v>
      </c>
      <c r="AX251" s="44"/>
    </row>
    <row r="252" spans="1:55" x14ac:dyDescent="0.25">
      <c r="A252" s="302"/>
      <c r="B252" s="562" t="str">
        <f>'CH4_Gylle_Stald&amp;Lager'!V182</f>
        <v>Malkekøer, tung race Kvier o. 18. mdr. -tko18</v>
      </c>
      <c r="C252" s="195"/>
      <c r="K252" s="207" t="s">
        <v>203</v>
      </c>
      <c r="L252" s="195"/>
      <c r="M252" s="195"/>
      <c r="N252" s="195"/>
      <c r="Q252" s="577" t="str">
        <f>B252</f>
        <v>Malkekøer, tung race Kvier o. 18. mdr. -tko18</v>
      </c>
      <c r="R252" s="139"/>
      <c r="S252" s="139"/>
      <c r="T252" s="139"/>
      <c r="U252" s="139"/>
      <c r="V252" s="139" t="s">
        <v>210</v>
      </c>
      <c r="W252" s="139"/>
      <c r="X252" s="139"/>
      <c r="Y252" s="139"/>
      <c r="Z252" s="139"/>
      <c r="AA252" s="302"/>
      <c r="AC252" s="483"/>
      <c r="AD252" s="562" t="str">
        <f>'CH4_Gylle_Stald&amp;Lager'!AH182</f>
        <v>Malkekøer, jersey Kvier o. 18. mdr. -jko18</v>
      </c>
      <c r="AE252" s="195"/>
      <c r="AM252" s="207" t="s">
        <v>203</v>
      </c>
      <c r="AN252" s="195"/>
      <c r="AO252" s="195"/>
      <c r="AP252" s="195"/>
      <c r="AS252" s="678" t="str">
        <f>AD252</f>
        <v>Malkekøer, jersey Kvier o. 18. mdr. -jko18</v>
      </c>
      <c r="AT252" s="139"/>
      <c r="AU252" s="139"/>
      <c r="AV252" s="139"/>
      <c r="AW252" s="139"/>
      <c r="AX252" s="139" t="s">
        <v>210</v>
      </c>
      <c r="AY252" s="139"/>
      <c r="AZ252" s="139"/>
      <c r="BA252" s="139"/>
      <c r="BB252" s="139"/>
      <c r="BC252" s="483"/>
    </row>
    <row r="253" spans="1:55" x14ac:dyDescent="0.25">
      <c r="A253" s="302"/>
      <c r="B253" s="135" t="s">
        <v>93</v>
      </c>
      <c r="C253" s="567"/>
      <c r="E253" s="104" t="s">
        <v>83</v>
      </c>
      <c r="F253" s="674" t="s">
        <v>9</v>
      </c>
      <c r="G253" s="111"/>
      <c r="H253" s="111"/>
      <c r="I253" s="111"/>
      <c r="J253" s="111"/>
      <c r="K253" s="248" t="s">
        <v>203</v>
      </c>
      <c r="L253" s="178"/>
      <c r="M253" s="178" t="s">
        <v>23</v>
      </c>
      <c r="N253" s="200" t="s">
        <v>27</v>
      </c>
      <c r="Q253" s="103"/>
      <c r="R253" s="191"/>
      <c r="S253" s="191"/>
      <c r="T253" s="191"/>
      <c r="U253" s="297"/>
      <c r="V253" s="298" t="s">
        <v>210</v>
      </c>
      <c r="W253" s="178"/>
      <c r="X253" s="178" t="s">
        <v>23</v>
      </c>
      <c r="Y253" s="200" t="s">
        <v>27</v>
      </c>
      <c r="Z253" s="139"/>
      <c r="AA253" s="302"/>
      <c r="AC253" s="483"/>
      <c r="AD253" s="135" t="s">
        <v>93</v>
      </c>
      <c r="AE253" s="567"/>
      <c r="AG253" s="104" t="s">
        <v>83</v>
      </c>
      <c r="AH253" s="674" t="s">
        <v>9</v>
      </c>
      <c r="AI253" s="111"/>
      <c r="AJ253" s="111"/>
      <c r="AK253" s="111"/>
      <c r="AL253" s="111"/>
      <c r="AM253" s="248" t="s">
        <v>203</v>
      </c>
      <c r="AN253" s="178"/>
      <c r="AO253" s="178" t="s">
        <v>23</v>
      </c>
      <c r="AP253" s="200" t="s">
        <v>27</v>
      </c>
      <c r="AS253" s="103"/>
      <c r="AT253" s="191"/>
      <c r="AU253" s="191"/>
      <c r="AV253" s="191"/>
      <c r="AW253" s="297"/>
      <c r="AX253" s="298" t="s">
        <v>210</v>
      </c>
      <c r="AY253" s="178"/>
      <c r="AZ253" s="178" t="s">
        <v>23</v>
      </c>
      <c r="BA253" s="200" t="s">
        <v>27</v>
      </c>
      <c r="BB253" s="139"/>
      <c r="BC253" s="483"/>
    </row>
    <row r="254" spans="1:55" x14ac:dyDescent="0.25">
      <c r="A254" s="302"/>
      <c r="B254" s="136" t="s">
        <v>81</v>
      </c>
      <c r="C254" s="575">
        <f>'CH4_Gylle_Stald&amp;Lager'!X185</f>
        <v>180</v>
      </c>
      <c r="E254" s="105" t="s">
        <v>231</v>
      </c>
      <c r="F254" s="675" t="s">
        <v>25</v>
      </c>
      <c r="G254" s="123"/>
      <c r="H254" s="123"/>
      <c r="I254" s="123"/>
      <c r="J254" s="123"/>
      <c r="K254" s="249" t="s">
        <v>203</v>
      </c>
      <c r="L254" s="175" t="s">
        <v>236</v>
      </c>
      <c r="M254" s="44"/>
      <c r="N254" s="65"/>
      <c r="Q254" s="255" t="s">
        <v>241</v>
      </c>
      <c r="R254" s="675" t="str">
        <f>F254</f>
        <v>Sengestald med spalter (kanal, bagskyl eller ringkanal)</v>
      </c>
      <c r="S254" s="192"/>
      <c r="T254" s="192"/>
      <c r="U254" s="192"/>
      <c r="V254" s="243"/>
      <c r="W254" s="175" t="s">
        <v>361</v>
      </c>
      <c r="X254" s="85"/>
      <c r="Y254" s="186"/>
      <c r="Z254" s="139"/>
      <c r="AA254" s="302"/>
      <c r="AC254" s="483"/>
      <c r="AD254" s="136" t="s">
        <v>81</v>
      </c>
      <c r="AE254" s="575">
        <f>'CH4_Gylle_Stald&amp;Lager'!AJ185</f>
        <v>180</v>
      </c>
      <c r="AG254" s="105" t="s">
        <v>231</v>
      </c>
      <c r="AH254" s="675" t="s">
        <v>25</v>
      </c>
      <c r="AI254" s="123"/>
      <c r="AJ254" s="123"/>
      <c r="AK254" s="123"/>
      <c r="AL254" s="123"/>
      <c r="AM254" s="249" t="s">
        <v>203</v>
      </c>
      <c r="AN254" s="175" t="s">
        <v>236</v>
      </c>
      <c r="AO254" s="44"/>
      <c r="AP254" s="65"/>
      <c r="AS254" s="255" t="s">
        <v>241</v>
      </c>
      <c r="AT254" s="675" t="str">
        <f>AH254</f>
        <v>Sengestald med spalter (kanal, bagskyl eller ringkanal)</v>
      </c>
      <c r="AU254" s="192"/>
      <c r="AV254" s="192"/>
      <c r="AW254" s="192"/>
      <c r="AX254" s="243"/>
      <c r="AY254" s="175" t="s">
        <v>361</v>
      </c>
      <c r="AZ254" s="85"/>
      <c r="BA254" s="186"/>
      <c r="BB254" s="139"/>
      <c r="BC254" s="483"/>
    </row>
    <row r="255" spans="1:55" x14ac:dyDescent="0.25">
      <c r="A255" s="302"/>
      <c r="B255" s="137" t="s">
        <v>82</v>
      </c>
      <c r="C255" s="576">
        <f>'CH4_Gylle_Stald&amp;Lager'!X186</f>
        <v>24</v>
      </c>
      <c r="E255" s="106"/>
      <c r="F255" s="676" t="s">
        <v>30</v>
      </c>
      <c r="G255" s="112"/>
      <c r="H255" s="112"/>
      <c r="I255" s="112"/>
      <c r="J255" s="112"/>
      <c r="K255" s="250" t="s">
        <v>203</v>
      </c>
      <c r="L255" s="44" t="s">
        <v>170</v>
      </c>
      <c r="M255" s="44">
        <f>INDEX($E$4:$N$19,MATCH(F254,$E$4:$E$19, 0),3)</f>
        <v>0.2</v>
      </c>
      <c r="N255" s="65">
        <f>INDEX($E$4:$N$19,MATCH(F254,$E$4:$E$19, 0),4)</f>
        <v>0</v>
      </c>
      <c r="Q255" s="255" t="s">
        <v>242</v>
      </c>
      <c r="R255" s="675" t="str">
        <f>F255</f>
        <v>Dybstrøelse, lang ædeplads med spalter (kanal, bagskyl eller ringkanal)</v>
      </c>
      <c r="S255" s="192"/>
      <c r="T255" s="192"/>
      <c r="U255" s="192"/>
      <c r="V255" s="243"/>
      <c r="W255" s="44" t="s">
        <v>170</v>
      </c>
      <c r="X255" s="44">
        <f>INDEX($E$22:$N$24,MATCH(R256,$E$22:$E$24, 0),3)</f>
        <v>0.5</v>
      </c>
      <c r="Y255" s="65">
        <f>INDEX($E$22:$N$24,MATCH(R256,$E$22:$E$24, 0),4)</f>
        <v>0</v>
      </c>
      <c r="Z255" s="139"/>
      <c r="AA255" s="302"/>
      <c r="AC255" s="483"/>
      <c r="AD255" s="137" t="s">
        <v>82</v>
      </c>
      <c r="AE255" s="576">
        <f>'CH4_Gylle_Stald&amp;Lager'!AJ186</f>
        <v>24</v>
      </c>
      <c r="AG255" s="106"/>
      <c r="AH255" s="676" t="s">
        <v>30</v>
      </c>
      <c r="AI255" s="112"/>
      <c r="AJ255" s="112"/>
      <c r="AK255" s="112"/>
      <c r="AL255" s="112"/>
      <c r="AM255" s="250" t="s">
        <v>203</v>
      </c>
      <c r="AN255" s="44" t="s">
        <v>170</v>
      </c>
      <c r="AO255" s="44">
        <f>INDEX($E$4:$N$19,MATCH(AH254,$E$4:$E$19, 0),3)</f>
        <v>0.2</v>
      </c>
      <c r="AP255" s="65">
        <f>INDEX($E$4:$N$19,MATCH(AH254,$E$4:$E$19, 0),4)</f>
        <v>0</v>
      </c>
      <c r="AS255" s="255" t="s">
        <v>242</v>
      </c>
      <c r="AT255" s="675" t="str">
        <f>AH255</f>
        <v>Dybstrøelse, lang ædeplads med spalter (kanal, bagskyl eller ringkanal)</v>
      </c>
      <c r="AU255" s="192"/>
      <c r="AV255" s="192"/>
      <c r="AW255" s="192"/>
      <c r="AX255" s="243"/>
      <c r="AY255" s="44" t="s">
        <v>170</v>
      </c>
      <c r="AZ255" s="44">
        <f>INDEX($E$22:$N$24,MATCH(AT256,$E$22:$E$24, 0),3)</f>
        <v>0.5</v>
      </c>
      <c r="BA255" s="65">
        <f>INDEX($E$22:$N$24,MATCH(AT256,$E$22:$E$24, 0),4)</f>
        <v>0</v>
      </c>
      <c r="BB255" s="139"/>
      <c r="BC255" s="483"/>
    </row>
    <row r="256" spans="1:55" x14ac:dyDescent="0.25">
      <c r="A256" s="303"/>
      <c r="B256" s="138"/>
      <c r="C256" s="568"/>
      <c r="E256" s="43"/>
      <c r="F256" s="294" t="s">
        <v>5</v>
      </c>
      <c r="G256" s="295" t="s">
        <v>6</v>
      </c>
      <c r="H256" s="296" t="s">
        <v>356</v>
      </c>
      <c r="I256" s="44"/>
      <c r="J256" s="44"/>
      <c r="K256" s="251" t="s">
        <v>203</v>
      </c>
      <c r="L256" s="44" t="s">
        <v>2</v>
      </c>
      <c r="M256" s="44"/>
      <c r="N256" s="65">
        <f>INDEX($E$4:$N$19,MATCH(F254,$E$4:$E$19, 0),7)</f>
        <v>0</v>
      </c>
      <c r="Q256" s="255" t="s">
        <v>360</v>
      </c>
      <c r="R256" s="675" t="s">
        <v>127</v>
      </c>
      <c r="S256" s="192"/>
      <c r="T256" s="192"/>
      <c r="U256" s="192"/>
      <c r="V256" s="243"/>
      <c r="W256" s="44" t="s">
        <v>1</v>
      </c>
      <c r="X256" s="44">
        <f>INDEX($E$22:$N$24,MATCH(R256,$E$22:$E$24, 0),6)</f>
        <v>3.4</v>
      </c>
      <c r="Y256" s="65"/>
      <c r="Z256" s="139"/>
      <c r="AA256" s="303"/>
      <c r="AC256" s="484"/>
      <c r="AD256" s="138"/>
      <c r="AE256" s="568"/>
      <c r="AG256" s="43"/>
      <c r="AH256" s="294" t="s">
        <v>5</v>
      </c>
      <c r="AI256" s="295" t="s">
        <v>6</v>
      </c>
      <c r="AJ256" s="296" t="s">
        <v>356</v>
      </c>
      <c r="AK256" s="44"/>
      <c r="AL256" s="44"/>
      <c r="AM256" s="251" t="s">
        <v>203</v>
      </c>
      <c r="AN256" s="44" t="s">
        <v>2</v>
      </c>
      <c r="AO256" s="44"/>
      <c r="AP256" s="65">
        <f>INDEX($E$4:$N$19,MATCH(AH254,$E$4:$E$19, 0),7)</f>
        <v>0</v>
      </c>
      <c r="AS256" s="255" t="s">
        <v>360</v>
      </c>
      <c r="AT256" s="675" t="s">
        <v>127</v>
      </c>
      <c r="AU256" s="192"/>
      <c r="AV256" s="192"/>
      <c r="AW256" s="192"/>
      <c r="AX256" s="243"/>
      <c r="AY256" s="44" t="s">
        <v>1</v>
      </c>
      <c r="AZ256" s="44">
        <f>INDEX($E$22:$N$24,MATCH(AT256,$E$22:$E$24, 0),6)</f>
        <v>3.4</v>
      </c>
      <c r="BA256" s="65"/>
      <c r="BB256" s="139"/>
      <c r="BC256" s="484"/>
    </row>
    <row r="257" spans="1:55" x14ac:dyDescent="0.25">
      <c r="A257" s="303"/>
      <c r="B257" s="229" t="s">
        <v>221</v>
      </c>
      <c r="C257" s="569"/>
      <c r="E257" s="66" t="s">
        <v>101</v>
      </c>
      <c r="F257" s="305">
        <f>INDEX(Normtal!$Q$3:$AC$551,MATCH(B252,Normtal!$Q$3:$Q$551,0),3)</f>
        <v>48.487587096774199</v>
      </c>
      <c r="G257" s="281"/>
      <c r="H257" s="285">
        <f>INDEX(Normtal!$Q$3:$AC$551,MATCH(B252,Normtal!$Q$3:$Q$551,0),4)</f>
        <v>32.613674654377881</v>
      </c>
      <c r="I257" s="85"/>
      <c r="J257" s="44"/>
      <c r="K257" s="251" t="s">
        <v>203</v>
      </c>
      <c r="L257" s="44" t="s">
        <v>1</v>
      </c>
      <c r="M257" s="44">
        <f>INDEX($E$4:$N$19,MATCH(F254,$E$4:$E$19, 0),6)</f>
        <v>13.5</v>
      </c>
      <c r="N257" s="65"/>
      <c r="Q257" s="299" t="s">
        <v>359</v>
      </c>
      <c r="R257" s="676" t="s">
        <v>135</v>
      </c>
      <c r="S257" s="194"/>
      <c r="T257" s="194"/>
      <c r="U257" s="194"/>
      <c r="V257" s="241"/>
      <c r="W257" s="44" t="s">
        <v>2</v>
      </c>
      <c r="X257" s="44"/>
      <c r="Y257" s="65">
        <f>INDEX($E$22:$N$24,MATCH(R256,$E$22:$E$24, 0),7)</f>
        <v>2</v>
      </c>
      <c r="Z257" s="139"/>
      <c r="AA257" s="303"/>
      <c r="AC257" s="484"/>
      <c r="AD257" s="229" t="s">
        <v>221</v>
      </c>
      <c r="AE257" s="569"/>
      <c r="AG257" s="66" t="s">
        <v>101</v>
      </c>
      <c r="AH257" s="305">
        <f>INDEX(Normtal!$Q$3:$AC$551,MATCH(AD252,Normtal!$Q$3:$Q$551,0),3)</f>
        <v>37.311325538461539</v>
      </c>
      <c r="AI257" s="281"/>
      <c r="AJ257" s="285">
        <f>INDEX(Normtal!$Q$3:$AC$551,MATCH(AD252,Normtal!$Q$3:$Q$551,0),4)</f>
        <v>25.005479384615381</v>
      </c>
      <c r="AK257" s="85"/>
      <c r="AL257" s="44"/>
      <c r="AM257" s="251" t="s">
        <v>203</v>
      </c>
      <c r="AN257" s="44" t="s">
        <v>1</v>
      </c>
      <c r="AO257" s="44">
        <f>INDEX($E$4:$N$19,MATCH(AH254,$E$4:$E$19, 0),6)</f>
        <v>13.5</v>
      </c>
      <c r="AP257" s="65"/>
      <c r="AS257" s="299" t="s">
        <v>359</v>
      </c>
      <c r="AT257" s="676" t="s">
        <v>135</v>
      </c>
      <c r="AU257" s="194"/>
      <c r="AV257" s="194"/>
      <c r="AW257" s="194"/>
      <c r="AX257" s="241"/>
      <c r="AY257" s="44" t="s">
        <v>2</v>
      </c>
      <c r="AZ257" s="44"/>
      <c r="BA257" s="65">
        <f>INDEX($E$22:$N$24,MATCH(AT256,$E$22:$E$24, 0),7)</f>
        <v>2</v>
      </c>
      <c r="BB257" s="139"/>
      <c r="BC257" s="484"/>
    </row>
    <row r="258" spans="1:55" x14ac:dyDescent="0.25">
      <c r="A258" s="303"/>
      <c r="B258" s="231" t="s">
        <v>224</v>
      </c>
      <c r="C258" s="574">
        <f>'CH4_Gylle_Stald&amp;Lager'!X189</f>
        <v>0.37</v>
      </c>
      <c r="E258" s="66" t="s">
        <v>103</v>
      </c>
      <c r="F258" s="305">
        <f>F257*(C254/365)*(C255/24)</f>
        <v>23.911686787450289</v>
      </c>
      <c r="G258" s="281"/>
      <c r="H258" s="285">
        <f>H257*(C254/365)*(C255/24)</f>
        <v>16.083455993939776</v>
      </c>
      <c r="I258" s="44" t="s">
        <v>357</v>
      </c>
      <c r="J258" s="44"/>
      <c r="K258" s="251" t="s">
        <v>203</v>
      </c>
      <c r="L258" s="175" t="s">
        <v>237</v>
      </c>
      <c r="M258" s="44"/>
      <c r="N258" s="65"/>
      <c r="Q258" s="118"/>
      <c r="R258" s="119"/>
      <c r="S258" s="119"/>
      <c r="T258" s="119"/>
      <c r="U258" s="119"/>
      <c r="V258" s="124"/>
      <c r="W258" s="56" t="s">
        <v>177</v>
      </c>
      <c r="X258" s="310">
        <f>$J$26</f>
        <v>0.5</v>
      </c>
      <c r="Z258" s="139"/>
      <c r="AA258" s="303"/>
      <c r="AC258" s="484"/>
      <c r="AD258" s="231" t="s">
        <v>224</v>
      </c>
      <c r="AE258" s="574">
        <f>'CH4_Gylle_Stald&amp;Lager'!AJ189</f>
        <v>0.4</v>
      </c>
      <c r="AG258" s="66" t="s">
        <v>103</v>
      </c>
      <c r="AH258" s="305">
        <f>AH257*(AE254/365)*(AE255/24)</f>
        <v>18.400105744994729</v>
      </c>
      <c r="AI258" s="281"/>
      <c r="AJ258" s="285">
        <f>AJ257*(AE254/365)*(AE255/24)</f>
        <v>12.331469285563749</v>
      </c>
      <c r="AK258" s="44" t="s">
        <v>357</v>
      </c>
      <c r="AL258" s="44"/>
      <c r="AM258" s="251" t="s">
        <v>203</v>
      </c>
      <c r="AN258" s="175" t="s">
        <v>237</v>
      </c>
      <c r="AO258" s="44"/>
      <c r="AP258" s="65"/>
      <c r="AS258" s="118"/>
      <c r="AT258" s="119"/>
      <c r="AU258" s="119"/>
      <c r="AV258" s="119"/>
      <c r="AW258" s="119"/>
      <c r="AX258" s="124"/>
      <c r="AY258" s="56" t="s">
        <v>177</v>
      </c>
      <c r="AZ258" s="310">
        <f>$J$26</f>
        <v>0.5</v>
      </c>
      <c r="BB258" s="139"/>
      <c r="BC258" s="484"/>
    </row>
    <row r="259" spans="1:55" x14ac:dyDescent="0.25">
      <c r="A259" s="303"/>
      <c r="B259" s="233" t="s">
        <v>223</v>
      </c>
      <c r="C259" s="570">
        <f>(365-C254*C255/24)*C258</f>
        <v>68.45</v>
      </c>
      <c r="D259" s="254"/>
      <c r="E259" s="66" t="s">
        <v>104</v>
      </c>
      <c r="F259" s="306">
        <f>F257-F258</f>
        <v>24.575900309323909</v>
      </c>
      <c r="G259" s="289"/>
      <c r="H259" s="287">
        <f>H257-H258</f>
        <v>16.530218660438106</v>
      </c>
      <c r="I259" s="44" t="s">
        <v>358</v>
      </c>
      <c r="J259" s="44"/>
      <c r="K259" s="251" t="s">
        <v>203</v>
      </c>
      <c r="L259" s="99" t="s">
        <v>170</v>
      </c>
      <c r="M259" s="85">
        <f>INDEX($E$4:$N$19,MATCH(F255,$E$4:$E$19, 0),3)</f>
        <v>0.2</v>
      </c>
      <c r="N259" s="186">
        <f>INDEX($E$4:$N$19,MATCH(F255,$E$4:$E$19, 0),4)</f>
        <v>1</v>
      </c>
      <c r="Q259" s="96" t="s">
        <v>139</v>
      </c>
      <c r="R259" s="85"/>
      <c r="S259" s="85"/>
      <c r="T259" s="85"/>
      <c r="U259" s="85"/>
      <c r="V259" s="186" t="s">
        <v>210</v>
      </c>
      <c r="W259" s="175" t="s">
        <v>364</v>
      </c>
      <c r="X259" s="44"/>
      <c r="Y259" s="65"/>
      <c r="Z259" s="139"/>
      <c r="AA259" s="303"/>
      <c r="AC259" s="484"/>
      <c r="AD259" s="233" t="s">
        <v>223</v>
      </c>
      <c r="AE259" s="570">
        <f>(365-AE254*AE255/24)*AE258</f>
        <v>74</v>
      </c>
      <c r="AF259" s="254"/>
      <c r="AG259" s="66" t="s">
        <v>104</v>
      </c>
      <c r="AH259" s="306">
        <f>AH257-AH258</f>
        <v>18.91121979346681</v>
      </c>
      <c r="AI259" s="289"/>
      <c r="AJ259" s="287">
        <f>AJ257-AJ258</f>
        <v>12.674010099051632</v>
      </c>
      <c r="AK259" s="44" t="s">
        <v>358</v>
      </c>
      <c r="AL259" s="44"/>
      <c r="AM259" s="251" t="s">
        <v>203</v>
      </c>
      <c r="AN259" s="99" t="s">
        <v>170</v>
      </c>
      <c r="AO259" s="85">
        <f>INDEX($E$4:$N$19,MATCH(AH255,$E$4:$E$19, 0),3)</f>
        <v>0.2</v>
      </c>
      <c r="AP259" s="186">
        <f>INDEX($E$4:$N$19,MATCH(AH255,$E$4:$E$19, 0),4)</f>
        <v>1</v>
      </c>
      <c r="AS259" s="96" t="s">
        <v>139</v>
      </c>
      <c r="AT259" s="85"/>
      <c r="AU259" s="85"/>
      <c r="AV259" s="85"/>
      <c r="AW259" s="85"/>
      <c r="AX259" s="186" t="s">
        <v>210</v>
      </c>
      <c r="AY259" s="175" t="s">
        <v>364</v>
      </c>
      <c r="AZ259" s="44"/>
      <c r="BA259" s="65"/>
      <c r="BB259" s="139"/>
      <c r="BC259" s="484"/>
    </row>
    <row r="260" spans="1:55" x14ac:dyDescent="0.25">
      <c r="A260" s="303"/>
      <c r="B260" s="231" t="s">
        <v>222</v>
      </c>
      <c r="C260" s="573"/>
      <c r="E260" s="66"/>
      <c r="F260" s="677" t="s">
        <v>278</v>
      </c>
      <c r="G260" s="221"/>
      <c r="H260" s="291"/>
      <c r="I260" s="44"/>
      <c r="J260" s="44"/>
      <c r="K260" s="65"/>
      <c r="L260" s="85" t="s">
        <v>2</v>
      </c>
      <c r="M260" s="85"/>
      <c r="N260" s="186">
        <f>INDEX($E$4:$N$19,MATCH(F255,$E$4:$E$19, 0),7)</f>
        <v>6</v>
      </c>
      <c r="Q260" s="66"/>
      <c r="R260" s="44"/>
      <c r="S260" s="44"/>
      <c r="T260" s="85"/>
      <c r="U260" s="85"/>
      <c r="V260" s="186" t="s">
        <v>210</v>
      </c>
      <c r="W260" s="99" t="s">
        <v>170</v>
      </c>
      <c r="X260" s="85">
        <f>INDEX($E$22:$N$24,MATCH(R257,$E$22:$E$24, 0),3)</f>
        <v>0</v>
      </c>
      <c r="Y260" s="186">
        <f>INDEX($E$22:$N$24,MATCH(R257,$E$22:$E$24, 0),4)</f>
        <v>1</v>
      </c>
      <c r="Z260" s="139"/>
      <c r="AA260" s="303"/>
      <c r="AC260" s="484"/>
      <c r="AD260" s="231" t="s">
        <v>222</v>
      </c>
      <c r="AE260" s="573"/>
      <c r="AG260" s="66"/>
      <c r="AH260" s="677" t="s">
        <v>602</v>
      </c>
      <c r="AI260" s="221"/>
      <c r="AJ260" s="291"/>
      <c r="AK260" s="44"/>
      <c r="AL260" s="44"/>
      <c r="AM260" s="65"/>
      <c r="AN260" s="85" t="s">
        <v>2</v>
      </c>
      <c r="AO260" s="85"/>
      <c r="AP260" s="186">
        <f>INDEX($E$4:$N$19,MATCH(AH255,$E$4:$E$19, 0),7)</f>
        <v>6</v>
      </c>
      <c r="AS260" s="66"/>
      <c r="AT260" s="44"/>
      <c r="AU260" s="44"/>
      <c r="AV260" s="85"/>
      <c r="AW260" s="85"/>
      <c r="AX260" s="186" t="s">
        <v>210</v>
      </c>
      <c r="AY260" s="99" t="s">
        <v>170</v>
      </c>
      <c r="AZ260" s="85">
        <f>INDEX($E$22:$N$24,MATCH(AT257,$E$22:$E$24, 0),3)</f>
        <v>0</v>
      </c>
      <c r="BA260" s="186">
        <f>INDEX($E$22:$N$24,MATCH(AT257,$E$22:$E$24, 0),4)</f>
        <v>1</v>
      </c>
      <c r="BB260" s="139"/>
      <c r="BC260" s="484"/>
    </row>
    <row r="261" spans="1:55" x14ac:dyDescent="0.25">
      <c r="A261" s="303"/>
      <c r="B261" s="231" t="s">
        <v>224</v>
      </c>
      <c r="C261" s="571">
        <f>1-C258</f>
        <v>0.63</v>
      </c>
      <c r="E261" s="66" t="s">
        <v>232</v>
      </c>
      <c r="F261" s="305">
        <f>F259*C258*1</f>
        <v>9.093083114449847</v>
      </c>
      <c r="G261" s="281"/>
      <c r="H261" s="286"/>
      <c r="I261" s="246" t="str">
        <f>INDEX($E$4:$N$19,MATCH(F254,$E$4:$E$19, 0),2)</f>
        <v>100% gyllesystem</v>
      </c>
      <c r="J261" s="246"/>
      <c r="K261" s="251" t="s">
        <v>203</v>
      </c>
      <c r="L261" s="99" t="s">
        <v>1</v>
      </c>
      <c r="M261" s="85">
        <f>INDEX($E$4:$N$19,MATCH(F255,$E$4:$E$19, 0),6)</f>
        <v>13.5</v>
      </c>
      <c r="N261" s="65"/>
      <c r="Q261" s="211" t="s">
        <v>371</v>
      </c>
      <c r="R261" s="85" t="s">
        <v>10</v>
      </c>
      <c r="S261" s="176">
        <f>_xlfn.AGGREGATE(9,6, F261:G261)</f>
        <v>9.093083114449847</v>
      </c>
      <c r="T261" s="85"/>
      <c r="U261" s="44"/>
      <c r="V261" s="65"/>
      <c r="W261" s="99" t="s">
        <v>1</v>
      </c>
      <c r="X261" s="85">
        <f>INDEX($E$22:$N$24,MATCH(R257,$E$22:$E$24, 0),6)</f>
        <v>0</v>
      </c>
      <c r="Y261" s="186"/>
      <c r="Z261" s="139"/>
      <c r="AA261" s="303"/>
      <c r="AC261" s="484"/>
      <c r="AD261" s="231" t="s">
        <v>224</v>
      </c>
      <c r="AE261" s="571">
        <f>1-AE258</f>
        <v>0.6</v>
      </c>
      <c r="AG261" s="66" t="s">
        <v>232</v>
      </c>
      <c r="AH261" s="305">
        <f>AH259*AE258*1</f>
        <v>7.5644879173867245</v>
      </c>
      <c r="AI261" s="281"/>
      <c r="AJ261" s="286"/>
      <c r="AK261" s="246" t="str">
        <f>INDEX($E$4:$N$19,MATCH(AH254,$E$4:$E$19, 0),2)</f>
        <v>100% gyllesystem</v>
      </c>
      <c r="AL261" s="246"/>
      <c r="AM261" s="251" t="s">
        <v>203</v>
      </c>
      <c r="AN261" s="99" t="s">
        <v>1</v>
      </c>
      <c r="AO261" s="85">
        <f>INDEX($E$4:$N$19,MATCH(AH255,$E$4:$E$19, 0),6)</f>
        <v>13.5</v>
      </c>
      <c r="AP261" s="65"/>
      <c r="AS261" s="211" t="s">
        <v>371</v>
      </c>
      <c r="AT261" s="85" t="s">
        <v>10</v>
      </c>
      <c r="AU261" s="176">
        <f>_xlfn.AGGREGATE(9,6, AH261:AI261)</f>
        <v>7.5644879173867245</v>
      </c>
      <c r="AV261" s="85"/>
      <c r="AW261" s="44"/>
      <c r="AX261" s="65"/>
      <c r="AY261" s="99" t="s">
        <v>1</v>
      </c>
      <c r="AZ261" s="85">
        <f>INDEX($E$22:$N$24,MATCH(AT257,$E$22:$E$24, 0),6)</f>
        <v>0</v>
      </c>
      <c r="BA261" s="186"/>
      <c r="BB261" s="139"/>
      <c r="BC261" s="484"/>
    </row>
    <row r="262" spans="1:55" x14ac:dyDescent="0.25">
      <c r="A262" s="302"/>
      <c r="B262" s="233" t="s">
        <v>81</v>
      </c>
      <c r="C262" s="570">
        <f>(365-C254*C255/24)*C261</f>
        <v>116.55</v>
      </c>
      <c r="E262" s="66" t="s">
        <v>102</v>
      </c>
      <c r="F262" s="305">
        <f>INDEX(Normtal!$Q$3:$AC$551,MATCH(F260,Normtal!$AA$3:$AA$551, 0),6)*C259/365</f>
        <v>8.7273750000000011E-2</v>
      </c>
      <c r="G262" s="283"/>
      <c r="H262" s="286"/>
      <c r="I262" s="44"/>
      <c r="J262" s="44"/>
      <c r="K262" s="65"/>
      <c r="L262" s="175" t="s">
        <v>363</v>
      </c>
      <c r="M262" s="44"/>
      <c r="N262" s="65"/>
      <c r="Q262" s="211" t="s">
        <v>243</v>
      </c>
      <c r="R262" s="85" t="s">
        <v>10</v>
      </c>
      <c r="S262" s="176">
        <f>_xlfn.AGGREGATE(9,6, F262:G262)</f>
        <v>8.7273750000000011E-2</v>
      </c>
      <c r="T262" s="85"/>
      <c r="U262" s="85"/>
      <c r="V262" s="186" t="s">
        <v>210</v>
      </c>
      <c r="W262" s="85" t="s">
        <v>2</v>
      </c>
      <c r="X262" s="85"/>
      <c r="Y262" s="186">
        <f>INDEX($E$22:$N$24,MATCH(R257,$E$22:$E$24, 0),7)</f>
        <v>3</v>
      </c>
      <c r="Z262" s="139"/>
      <c r="AA262" s="302"/>
      <c r="AC262" s="483"/>
      <c r="AD262" s="233" t="s">
        <v>81</v>
      </c>
      <c r="AE262" s="570">
        <f>(365-AE254*AE255/24)*AE261</f>
        <v>111</v>
      </c>
      <c r="AG262" s="66" t="s">
        <v>102</v>
      </c>
      <c r="AH262" s="305">
        <f>INDEX(Normtal!$Q$3:$AC$551,MATCH(AH260,Normtal!$AA$3:$AA$551, 0),6)*AE259/365</f>
        <v>6.2899999999999998E-2</v>
      </c>
      <c r="AI262" s="283"/>
      <c r="AJ262" s="286"/>
      <c r="AK262" s="44"/>
      <c r="AL262" s="44"/>
      <c r="AM262" s="65"/>
      <c r="AN262" s="175" t="s">
        <v>363</v>
      </c>
      <c r="AO262" s="44"/>
      <c r="AP262" s="65"/>
      <c r="AS262" s="211" t="s">
        <v>243</v>
      </c>
      <c r="AT262" s="85" t="s">
        <v>10</v>
      </c>
      <c r="AU262" s="176">
        <f>_xlfn.AGGREGATE(9,6, AH262:AI262)</f>
        <v>6.2899999999999998E-2</v>
      </c>
      <c r="AV262" s="85"/>
      <c r="AW262" s="85"/>
      <c r="AX262" s="186" t="s">
        <v>210</v>
      </c>
      <c r="AY262" s="85" t="s">
        <v>2</v>
      </c>
      <c r="AZ262" s="85"/>
      <c r="BA262" s="186">
        <f>INDEX($E$22:$N$24,MATCH(AT257,$E$22:$E$24, 0),7)</f>
        <v>3</v>
      </c>
      <c r="BB262" s="139"/>
      <c r="BC262" s="483"/>
    </row>
    <row r="263" spans="1:55" x14ac:dyDescent="0.25">
      <c r="A263" s="302"/>
      <c r="C263" s="195"/>
      <c r="E263" s="66" t="s">
        <v>235</v>
      </c>
      <c r="F263" s="307">
        <f>INDEX(Normtal!$Q$3:$AC$551,MATCH(F260,Normtal!$AA$3:$AA$551, 0),4)*C259/365</f>
        <v>6.1161809043620989</v>
      </c>
      <c r="G263" s="247"/>
      <c r="H263" s="285">
        <f>H259*C258</f>
        <v>6.1161809043620989</v>
      </c>
      <c r="I263" s="44"/>
      <c r="J263" s="44"/>
      <c r="K263" s="251"/>
      <c r="L263" s="44" t="s">
        <v>362</v>
      </c>
      <c r="M263" s="44">
        <f>$J$26</f>
        <v>0.5</v>
      </c>
      <c r="N263" s="65"/>
      <c r="Q263" s="211" t="s">
        <v>365</v>
      </c>
      <c r="R263" s="85" t="s">
        <v>10</v>
      </c>
      <c r="S263" s="176">
        <f>-_xlfn.AGGREGATE(9,6,G279:G280)</f>
        <v>-1.8360713728899695E-2</v>
      </c>
      <c r="T263" s="85"/>
      <c r="U263" s="85"/>
      <c r="V263" s="186" t="s">
        <v>210</v>
      </c>
      <c r="W263" s="86" t="s">
        <v>363</v>
      </c>
      <c r="X263" s="85"/>
      <c r="Y263" s="186"/>
      <c r="Z263" s="139"/>
      <c r="AA263" s="302"/>
      <c r="AC263" s="483"/>
      <c r="AE263" s="195"/>
      <c r="AG263" s="66" t="s">
        <v>235</v>
      </c>
      <c r="AH263" s="307">
        <f>INDEX(Normtal!$Q$3:$AC$551,MATCH(AH260,Normtal!$AA$3:$AA$551, 0),4)*AE259/365</f>
        <v>5.0696040396206525</v>
      </c>
      <c r="AI263" s="247"/>
      <c r="AJ263" s="285">
        <f>AJ259*AE258</f>
        <v>5.0696040396206534</v>
      </c>
      <c r="AK263" s="44"/>
      <c r="AL263" s="44"/>
      <c r="AM263" s="251"/>
      <c r="AN263" s="44" t="s">
        <v>362</v>
      </c>
      <c r="AO263" s="44">
        <f>$J$26</f>
        <v>0.5</v>
      </c>
      <c r="AP263" s="65"/>
      <c r="AS263" s="211" t="s">
        <v>365</v>
      </c>
      <c r="AT263" s="85" t="s">
        <v>10</v>
      </c>
      <c r="AU263" s="176">
        <f>-_xlfn.AGGREGATE(9,6,AI279:AI280)</f>
        <v>-1.525477583477345E-2</v>
      </c>
      <c r="AV263" s="85"/>
      <c r="AW263" s="85"/>
      <c r="AX263" s="186" t="s">
        <v>210</v>
      </c>
      <c r="AY263" s="86" t="s">
        <v>363</v>
      </c>
      <c r="AZ263" s="85"/>
      <c r="BA263" s="186"/>
      <c r="BB263" s="139"/>
      <c r="BC263" s="483"/>
    </row>
    <row r="264" spans="1:55" ht="30" x14ac:dyDescent="0.25">
      <c r="A264" s="302"/>
      <c r="B264" s="257" t="s">
        <v>245</v>
      </c>
      <c r="C264" s="572">
        <f>'CH4_Gylle_Stald&amp;Lager'!X195</f>
        <v>0.3</v>
      </c>
      <c r="E264" s="66"/>
      <c r="F264" s="290"/>
      <c r="G264" s="290"/>
      <c r="H264" s="292"/>
      <c r="I264" s="44"/>
      <c r="J264" s="44"/>
      <c r="K264" s="251" t="s">
        <v>203</v>
      </c>
      <c r="L264" s="44" t="s">
        <v>171</v>
      </c>
      <c r="M264" s="44">
        <f>$J$27</f>
        <v>-0.5</v>
      </c>
      <c r="N264" s="65"/>
      <c r="Q264" s="211" t="s">
        <v>367</v>
      </c>
      <c r="R264" s="85" t="s">
        <v>10</v>
      </c>
      <c r="S264" s="176">
        <f>-_xlfn.AGGREGATE(9,6,G281,G282)</f>
        <v>-0.82568442208888337</v>
      </c>
      <c r="T264" s="85"/>
      <c r="U264" s="85"/>
      <c r="V264" s="186"/>
      <c r="W264" s="99" t="s">
        <v>171</v>
      </c>
      <c r="X264" s="85">
        <f>$J$27</f>
        <v>-0.5</v>
      </c>
      <c r="Y264" s="186"/>
      <c r="Z264" s="139"/>
      <c r="AA264" s="302"/>
      <c r="AC264" s="483"/>
      <c r="AD264" s="257" t="s">
        <v>245</v>
      </c>
      <c r="AE264" s="572">
        <f>'CH4_Gylle_Stald&amp;Lager'!AJ195</f>
        <v>0.3</v>
      </c>
      <c r="AG264" s="66"/>
      <c r="AH264" s="290"/>
      <c r="AI264" s="290"/>
      <c r="AJ264" s="292"/>
      <c r="AK264" s="44"/>
      <c r="AL264" s="44"/>
      <c r="AM264" s="251" t="s">
        <v>203</v>
      </c>
      <c r="AN264" s="44" t="s">
        <v>171</v>
      </c>
      <c r="AO264" s="44">
        <f>$J$27</f>
        <v>-0.5</v>
      </c>
      <c r="AP264" s="65"/>
      <c r="AS264" s="211" t="s">
        <v>367</v>
      </c>
      <c r="AT264" s="85" t="s">
        <v>10</v>
      </c>
      <c r="AU264" s="176">
        <f>-_xlfn.AGGREGATE(9,6,AI281,AI282)</f>
        <v>-0.68439654534878813</v>
      </c>
      <c r="AV264" s="85"/>
      <c r="AW264" s="85"/>
      <c r="AX264" s="186"/>
      <c r="AY264" s="99" t="s">
        <v>171</v>
      </c>
      <c r="AZ264" s="85">
        <f>$J$27</f>
        <v>-0.5</v>
      </c>
      <c r="BA264" s="186"/>
      <c r="BB264" s="139"/>
      <c r="BC264" s="483"/>
    </row>
    <row r="265" spans="1:55" x14ac:dyDescent="0.25">
      <c r="A265" s="302"/>
      <c r="E265" s="66"/>
      <c r="F265" s="677" t="s">
        <v>279</v>
      </c>
      <c r="G265" s="677" t="s">
        <v>280</v>
      </c>
      <c r="H265" s="284"/>
      <c r="I265" s="44" t="s">
        <v>203</v>
      </c>
      <c r="J265" s="44"/>
      <c r="K265" s="65"/>
      <c r="L265" s="293" t="s">
        <v>238</v>
      </c>
      <c r="M265" s="44"/>
      <c r="N265" s="65"/>
      <c r="Q265" s="455"/>
      <c r="R265" s="84"/>
      <c r="S265" s="94"/>
      <c r="T265" s="85"/>
      <c r="U265" s="85"/>
      <c r="V265" s="186" t="s">
        <v>210</v>
      </c>
      <c r="W265" s="85" t="s">
        <v>177</v>
      </c>
      <c r="X265" s="85">
        <f>$J$26</f>
        <v>0.5</v>
      </c>
      <c r="Y265" s="186"/>
      <c r="Z265" s="139"/>
      <c r="AA265" s="302"/>
      <c r="AC265" s="483"/>
      <c r="AG265" s="66"/>
      <c r="AH265" s="677" t="s">
        <v>603</v>
      </c>
      <c r="AI265" s="677" t="s">
        <v>604</v>
      </c>
      <c r="AJ265" s="284"/>
      <c r="AK265" s="44" t="s">
        <v>203</v>
      </c>
      <c r="AL265" s="44"/>
      <c r="AM265" s="65"/>
      <c r="AN265" s="293" t="s">
        <v>238</v>
      </c>
      <c r="AO265" s="44"/>
      <c r="AP265" s="65"/>
      <c r="AS265" s="455"/>
      <c r="AT265" s="84"/>
      <c r="AU265" s="94"/>
      <c r="AV265" s="85"/>
      <c r="AW265" s="85"/>
      <c r="AX265" s="186" t="s">
        <v>210</v>
      </c>
      <c r="AY265" s="85" t="s">
        <v>177</v>
      </c>
      <c r="AZ265" s="85">
        <f>$J$26</f>
        <v>0.5</v>
      </c>
      <c r="BA265" s="186"/>
      <c r="BB265" s="139"/>
      <c r="BC265" s="483"/>
    </row>
    <row r="266" spans="1:55" x14ac:dyDescent="0.25">
      <c r="A266" s="302"/>
      <c r="B266" s="77" t="s">
        <v>226</v>
      </c>
      <c r="C266" s="236">
        <f>C254*C255/24+C259+C262</f>
        <v>365</v>
      </c>
      <c r="E266" s="66" t="s">
        <v>233</v>
      </c>
      <c r="F266" s="305">
        <f>F259*C261*0.4</f>
        <v>6.1931268779496254</v>
      </c>
      <c r="G266" s="247">
        <f>F259*C261*0.6</f>
        <v>9.2896903169244371</v>
      </c>
      <c r="H266" s="286"/>
      <c r="I266" s="246" t="str">
        <f>INDEX($E$4:$N$19,MATCH(F255,$E$4:$E$19, 0),2)</f>
        <v>60 % dybstrøelsessystem - 40 % gyllesystem</v>
      </c>
      <c r="J266" s="246"/>
      <c r="K266" s="65"/>
      <c r="L266" s="85" t="s">
        <v>172</v>
      </c>
      <c r="M266" s="85">
        <f>INDEX($E$4:$N$19,MATCH(F253,$E$4:$E$19, 0),3)</f>
        <v>0.4</v>
      </c>
      <c r="N266" s="186"/>
      <c r="Q266" s="211" t="s">
        <v>372</v>
      </c>
      <c r="R266" s="44"/>
      <c r="S266" s="113">
        <f>_xlfn.AGGREGATE(9,6,F266:G266)</f>
        <v>15.482817194874062</v>
      </c>
      <c r="T266" s="44"/>
      <c r="U266" s="44"/>
      <c r="V266" s="65"/>
      <c r="W266" s="44"/>
      <c r="X266" s="44"/>
      <c r="Y266" s="65"/>
      <c r="Z266" s="139"/>
      <c r="AA266" s="302"/>
      <c r="AC266" s="483"/>
      <c r="AD266" s="77" t="s">
        <v>226</v>
      </c>
      <c r="AE266" s="236">
        <f>AE254*AE255/24+AE259+AE262</f>
        <v>365</v>
      </c>
      <c r="AG266" s="66" t="s">
        <v>233</v>
      </c>
      <c r="AH266" s="305">
        <f>AH259*AE261*0.4</f>
        <v>4.538692750432034</v>
      </c>
      <c r="AI266" s="247">
        <f>AH259*AE261*0.6</f>
        <v>6.808039125648051</v>
      </c>
      <c r="AJ266" s="286"/>
      <c r="AK266" s="246" t="str">
        <f>INDEX($E$4:$N$19,MATCH(AH255,$E$4:$E$19, 0),2)</f>
        <v>60 % dybstrøelsessystem - 40 % gyllesystem</v>
      </c>
      <c r="AL266" s="246"/>
      <c r="AM266" s="65"/>
      <c r="AN266" s="85" t="s">
        <v>172</v>
      </c>
      <c r="AO266" s="85">
        <f>INDEX($E$4:$N$19,MATCH(AH253,$E$4:$E$19, 0),3)</f>
        <v>0.4</v>
      </c>
      <c r="AP266" s="186"/>
      <c r="AS266" s="211" t="s">
        <v>372</v>
      </c>
      <c r="AT266" s="44"/>
      <c r="AU266" s="113">
        <f>_xlfn.AGGREGATE(9,6,AH266:AI266)</f>
        <v>11.346731876080085</v>
      </c>
      <c r="AV266" s="44"/>
      <c r="AW266" s="44"/>
      <c r="AX266" s="65"/>
      <c r="AY266" s="44"/>
      <c r="AZ266" s="44"/>
      <c r="BA266" s="65"/>
      <c r="BB266" s="139"/>
      <c r="BC266" s="483"/>
    </row>
    <row r="267" spans="1:55" x14ac:dyDescent="0.25">
      <c r="A267" s="302"/>
      <c r="B267" s="720"/>
      <c r="C267" s="245"/>
      <c r="E267" s="117" t="s">
        <v>102</v>
      </c>
      <c r="F267" s="305">
        <f>INDEX(Normtal!$Q$3:$AC$551,MATCH(F265,Normtal!$AA$3:$AA$551, 0),6)*C262/365</f>
        <v>0</v>
      </c>
      <c r="G267" s="305">
        <f>INDEX(Normtal!$Q$3:$AC$551,MATCH(G265,Normtal!$AA$3:$AA$551, 0),6)*C262/365</f>
        <v>2.4766875000000002</v>
      </c>
      <c r="H267" s="286"/>
      <c r="I267" s="44"/>
      <c r="J267" s="44"/>
      <c r="K267" s="251" t="s">
        <v>203</v>
      </c>
      <c r="L267" s="85"/>
      <c r="M267" s="85"/>
      <c r="N267" s="186"/>
      <c r="Q267" s="211" t="s">
        <v>244</v>
      </c>
      <c r="R267" s="85" t="s">
        <v>10</v>
      </c>
      <c r="S267" s="113">
        <f>_xlfn.AGGREGATE(9,6,F267:G267)</f>
        <v>2.4766875000000002</v>
      </c>
      <c r="T267" s="44"/>
      <c r="U267" s="44"/>
      <c r="V267" s="65"/>
      <c r="W267" s="85" t="s">
        <v>159</v>
      </c>
      <c r="X267" s="85">
        <f>$U$20</f>
        <v>0.01</v>
      </c>
      <c r="Y267" s="186"/>
      <c r="Z267" s="139"/>
      <c r="AA267" s="302"/>
      <c r="AC267" s="483"/>
      <c r="AD267" s="720"/>
      <c r="AE267" s="245"/>
      <c r="AG267" s="117" t="s">
        <v>102</v>
      </c>
      <c r="AH267" s="305">
        <f>INDEX(Normtal!$Q$3:$AC$551,MATCH(AH265,Normtal!$AA$3:$AA$551, 0),6)*AE262/365</f>
        <v>0</v>
      </c>
      <c r="AI267" s="305">
        <f>INDEX(Normtal!$Q$3:$AC$551,MATCH(AI265,Normtal!$AA$3:$AA$551, 0),6)*AE262/365</f>
        <v>1.887</v>
      </c>
      <c r="AJ267" s="286"/>
      <c r="AK267" s="44"/>
      <c r="AL267" s="44"/>
      <c r="AM267" s="251" t="s">
        <v>203</v>
      </c>
      <c r="AN267" s="85"/>
      <c r="AO267" s="85"/>
      <c r="AP267" s="186"/>
      <c r="AS267" s="211" t="s">
        <v>244</v>
      </c>
      <c r="AT267" s="85" t="s">
        <v>10</v>
      </c>
      <c r="AU267" s="113">
        <f>_xlfn.AGGREGATE(9,6,AH267:AI267)</f>
        <v>1.887</v>
      </c>
      <c r="AV267" s="44"/>
      <c r="AW267" s="44"/>
      <c r="AX267" s="65"/>
      <c r="AY267" s="85" t="s">
        <v>159</v>
      </c>
      <c r="AZ267" s="85">
        <f>$U$20</f>
        <v>0.01</v>
      </c>
      <c r="BA267" s="186"/>
      <c r="BB267" s="139"/>
      <c r="BC267" s="483"/>
    </row>
    <row r="268" spans="1:55" x14ac:dyDescent="0.25">
      <c r="A268" s="302"/>
      <c r="B268" s="720"/>
      <c r="C268" s="245"/>
      <c r="E268" s="66" t="s">
        <v>234</v>
      </c>
      <c r="F268" s="307">
        <f>INDEX(Normtal!$Q$3:$AC$551,MATCH(F265,Normtal!$AA$3:$AA$551, 0),4)*C262/365</f>
        <v>4.1656151024304018</v>
      </c>
      <c r="G268" s="283"/>
      <c r="H268" s="285">
        <f>H259*C261*0.4</f>
        <v>4.1656151024304027</v>
      </c>
      <c r="I268" s="44"/>
      <c r="J268" s="44"/>
      <c r="K268" s="65"/>
      <c r="L268" s="85" t="s">
        <v>195</v>
      </c>
      <c r="M268" s="85"/>
      <c r="N268" s="201">
        <f>INDEX($E$4:$N$19,MATCH(F253,$E$4:$E$19, 0),7)</f>
        <v>0.21</v>
      </c>
      <c r="Q268" s="211" t="s">
        <v>368</v>
      </c>
      <c r="R268" s="85" t="s">
        <v>10</v>
      </c>
      <c r="S268" s="300">
        <f>-_xlfn.AGGREGATE(9,6,G284:G285)</f>
        <v>-0.11319159331212994</v>
      </c>
      <c r="T268" s="44"/>
      <c r="U268" s="44"/>
      <c r="V268" s="65"/>
      <c r="W268" s="44"/>
      <c r="X268" s="44"/>
      <c r="Y268" s="186"/>
      <c r="Z268" s="139"/>
      <c r="AA268" s="302"/>
      <c r="AC268" s="483"/>
      <c r="AD268" s="720"/>
      <c r="AE268" s="245"/>
      <c r="AG268" s="66" t="s">
        <v>234</v>
      </c>
      <c r="AH268" s="307">
        <f>INDEX(Normtal!$Q$3:$AC$551,MATCH(AH265,Normtal!$AA$3:$AA$551, 0),4)*AE262/365</f>
        <v>3.0417624237723917</v>
      </c>
      <c r="AI268" s="283"/>
      <c r="AJ268" s="285">
        <f>AJ259*AE261*0.4</f>
        <v>3.0417624237723917</v>
      </c>
      <c r="AK268" s="44"/>
      <c r="AL268" s="44"/>
      <c r="AM268" s="65"/>
      <c r="AN268" s="85" t="s">
        <v>195</v>
      </c>
      <c r="AO268" s="85"/>
      <c r="AP268" s="201">
        <f>INDEX($E$4:$N$19,MATCH(AH253,$E$4:$E$19, 0),7)</f>
        <v>0.21</v>
      </c>
      <c r="AS268" s="211" t="s">
        <v>368</v>
      </c>
      <c r="AT268" s="85" t="s">
        <v>10</v>
      </c>
      <c r="AU268" s="300">
        <f>-_xlfn.AGGREGATE(9,6,AI284:AI285)</f>
        <v>-8.2896324702550053E-2</v>
      </c>
      <c r="AV268" s="44"/>
      <c r="AW268" s="44"/>
      <c r="AX268" s="65"/>
      <c r="AY268" s="44"/>
      <c r="AZ268" s="44"/>
      <c r="BA268" s="186"/>
      <c r="BB268" s="139"/>
      <c r="BC268" s="483"/>
    </row>
    <row r="269" spans="1:55" x14ac:dyDescent="0.25">
      <c r="A269" s="302"/>
      <c r="E269" s="66"/>
      <c r="F269" s="290"/>
      <c r="G269" s="290"/>
      <c r="H269" s="292"/>
      <c r="I269" s="44"/>
      <c r="J269" s="44"/>
      <c r="K269" s="251" t="s">
        <v>203</v>
      </c>
      <c r="L269" s="85"/>
      <c r="M269" s="85"/>
      <c r="N269" s="186"/>
      <c r="Q269" s="211" t="s">
        <v>366</v>
      </c>
      <c r="R269" s="85" t="s">
        <v>10</v>
      </c>
      <c r="S269" s="300">
        <f>-_xlfn.AGGREGATE(9,6,G286:G287)</f>
        <v>-1.1197394578435704</v>
      </c>
      <c r="T269" s="44"/>
      <c r="U269" s="44"/>
      <c r="V269" s="65"/>
      <c r="Y269" s="65"/>
      <c r="Z269" s="139"/>
      <c r="AA269" s="302"/>
      <c r="AC269" s="483"/>
      <c r="AG269" s="66"/>
      <c r="AH269" s="290"/>
      <c r="AI269" s="290"/>
      <c r="AJ269" s="292"/>
      <c r="AK269" s="44"/>
      <c r="AL269" s="44"/>
      <c r="AM269" s="251" t="s">
        <v>203</v>
      </c>
      <c r="AN269" s="85"/>
      <c r="AO269" s="85"/>
      <c r="AP269" s="186"/>
      <c r="AS269" s="211" t="s">
        <v>366</v>
      </c>
      <c r="AT269" s="85" t="s">
        <v>10</v>
      </c>
      <c r="AU269" s="300">
        <f>-_xlfn.AGGREGATE(9,6,AI286:AI287)</f>
        <v>-0.81912027474815596</v>
      </c>
      <c r="AV269" s="44"/>
      <c r="AW269" s="44"/>
      <c r="AX269" s="65"/>
      <c r="BA269" s="65"/>
      <c r="BB269" s="139"/>
      <c r="BC269" s="483"/>
    </row>
    <row r="270" spans="1:55" x14ac:dyDescent="0.25">
      <c r="A270" s="302"/>
      <c r="E270" s="96" t="s">
        <v>134</v>
      </c>
      <c r="F270" s="176">
        <f>_xlfn.AGGREGATE(9,6,F263,F268)</f>
        <v>10.281796006792501</v>
      </c>
      <c r="G270" s="288"/>
      <c r="H270" s="266">
        <f>_xlfn.AGGREGATE(9,6,H263,H268)</f>
        <v>10.281796006792501</v>
      </c>
      <c r="I270" s="44"/>
      <c r="J270" s="44"/>
      <c r="K270" s="65"/>
      <c r="L270" s="85"/>
      <c r="M270" s="85"/>
      <c r="N270" s="186"/>
      <c r="Q270" s="66"/>
      <c r="R270" s="44"/>
      <c r="S270" s="44"/>
      <c r="T270" s="301"/>
      <c r="U270" s="44"/>
      <c r="V270" s="65"/>
      <c r="W270" s="24"/>
      <c r="X270" s="24"/>
      <c r="Y270" s="120"/>
      <c r="Z270" s="48"/>
      <c r="AA270" s="302"/>
      <c r="AC270" s="483"/>
      <c r="AG270" s="96" t="s">
        <v>134</v>
      </c>
      <c r="AH270" s="176">
        <f>_xlfn.AGGREGATE(9,6,AH263,AH268)</f>
        <v>8.1113664633930433</v>
      </c>
      <c r="AI270" s="288"/>
      <c r="AJ270" s="266">
        <f>_xlfn.AGGREGATE(9,6,AJ263,AJ268)</f>
        <v>8.1113664633930451</v>
      </c>
      <c r="AK270" s="44"/>
      <c r="AL270" s="44"/>
      <c r="AM270" s="65"/>
      <c r="AN270" s="85"/>
      <c r="AO270" s="85"/>
      <c r="AP270" s="186"/>
      <c r="AS270" s="66"/>
      <c r="AT270" s="44"/>
      <c r="AU270" s="44"/>
      <c r="AV270" s="301"/>
      <c r="AW270" s="44"/>
      <c r="AX270" s="65"/>
      <c r="AY270" s="24"/>
      <c r="AZ270" s="24"/>
      <c r="BA270" s="120"/>
      <c r="BB270" s="48"/>
      <c r="BC270" s="483"/>
    </row>
    <row r="271" spans="1:55" x14ac:dyDescent="0.25">
      <c r="A271" s="302"/>
      <c r="E271" s="66"/>
      <c r="F271" s="44"/>
      <c r="G271" s="44"/>
      <c r="H271" s="44"/>
      <c r="I271" s="44"/>
      <c r="J271" s="44"/>
      <c r="K271" s="65"/>
      <c r="L271" s="85"/>
      <c r="M271" s="85"/>
      <c r="N271" s="186"/>
      <c r="Q271" s="96" t="s">
        <v>369</v>
      </c>
      <c r="R271" s="85" t="s">
        <v>10</v>
      </c>
      <c r="S271" s="198">
        <f>SUM(S261:S264)</f>
        <v>8.3363117286320634</v>
      </c>
      <c r="W271" s="44"/>
      <c r="X271" s="44"/>
      <c r="Y271" s="44"/>
      <c r="Z271" s="48"/>
      <c r="AA271" s="302"/>
      <c r="AC271" s="483"/>
      <c r="AG271" s="66"/>
      <c r="AH271" s="44"/>
      <c r="AI271" s="44"/>
      <c r="AJ271" s="44"/>
      <c r="AK271" s="44"/>
      <c r="AL271" s="44"/>
      <c r="AM271" s="65"/>
      <c r="AN271" s="85"/>
      <c r="AO271" s="85"/>
      <c r="AP271" s="186"/>
      <c r="AS271" s="96" t="s">
        <v>369</v>
      </c>
      <c r="AT271" s="85" t="s">
        <v>10</v>
      </c>
      <c r="AU271" s="198">
        <f>SUM(AU261:AU264)</f>
        <v>6.9277365962031627</v>
      </c>
      <c r="AY271" s="44"/>
      <c r="AZ271" s="44"/>
      <c r="BA271" s="44"/>
      <c r="BB271" s="48"/>
      <c r="BC271" s="483"/>
    </row>
    <row r="272" spans="1:55" x14ac:dyDescent="0.25">
      <c r="A272" s="302"/>
      <c r="E272" s="96" t="s">
        <v>84</v>
      </c>
      <c r="F272" s="85"/>
      <c r="G272" s="85"/>
      <c r="H272" s="44"/>
      <c r="I272" s="85"/>
      <c r="J272" s="44"/>
      <c r="K272" s="251" t="s">
        <v>203</v>
      </c>
      <c r="L272" s="85" t="str">
        <f>$T$20</f>
        <v>EF4</v>
      </c>
      <c r="M272" s="85">
        <f>$U$20</f>
        <v>0.01</v>
      </c>
      <c r="N272" s="186"/>
      <c r="Q272" s="310" t="s">
        <v>563</v>
      </c>
      <c r="R272" s="84" t="s">
        <v>10</v>
      </c>
      <c r="S272" s="457">
        <f>F263-G281</f>
        <v>5.2904964822732152</v>
      </c>
      <c r="U272" s="44"/>
      <c r="V272" s="65"/>
      <c r="W272" s="44"/>
      <c r="X272" s="44"/>
      <c r="Y272" s="44"/>
      <c r="Z272" s="48"/>
      <c r="AA272" s="302"/>
      <c r="AC272" s="483"/>
      <c r="AG272" s="96" t="s">
        <v>84</v>
      </c>
      <c r="AH272" s="85"/>
      <c r="AI272" s="85"/>
      <c r="AJ272" s="44"/>
      <c r="AK272" s="85"/>
      <c r="AL272" s="44"/>
      <c r="AM272" s="251" t="s">
        <v>203</v>
      </c>
      <c r="AN272" s="85" t="str">
        <f>$T$20</f>
        <v>EF4</v>
      </c>
      <c r="AO272" s="85">
        <f>$U$20</f>
        <v>0.01</v>
      </c>
      <c r="AP272" s="186"/>
      <c r="AS272" s="310" t="s">
        <v>563</v>
      </c>
      <c r="AT272" s="84" t="s">
        <v>10</v>
      </c>
      <c r="AU272" s="457">
        <f>AH263-AI281</f>
        <v>4.3852074942718646</v>
      </c>
      <c r="AW272" s="44"/>
      <c r="AX272" s="65"/>
      <c r="AY272" s="44"/>
      <c r="AZ272" s="44"/>
      <c r="BA272" s="44"/>
      <c r="BB272" s="48"/>
      <c r="BC272" s="483"/>
    </row>
    <row r="273" spans="1:55" x14ac:dyDescent="0.25">
      <c r="A273" s="302"/>
      <c r="E273" s="96" t="s">
        <v>105</v>
      </c>
      <c r="F273" s="85" t="s">
        <v>10</v>
      </c>
      <c r="G273" s="176">
        <f>(F258)*M266/100</f>
        <v>9.5646747149801162E-2</v>
      </c>
      <c r="H273" s="44"/>
      <c r="I273" s="85" t="s">
        <v>85</v>
      </c>
      <c r="J273" s="114" t="s">
        <v>86</v>
      </c>
      <c r="K273" s="252" t="s">
        <v>203</v>
      </c>
      <c r="L273" s="85" t="str">
        <f>$T$21</f>
        <v>[leaching/ runoff]</v>
      </c>
      <c r="M273" s="85">
        <f>$U$21</f>
        <v>0</v>
      </c>
      <c r="N273" s="186"/>
      <c r="Q273" s="96" t="s">
        <v>370</v>
      </c>
      <c r="R273" s="85" t="s">
        <v>10</v>
      </c>
      <c r="S273" s="198">
        <f>SUM(S266:S269)</f>
        <v>16.726573643718361</v>
      </c>
      <c r="W273" s="44"/>
      <c r="X273" s="44"/>
      <c r="Y273" s="44"/>
      <c r="Z273" s="48"/>
      <c r="AA273" s="302"/>
      <c r="AC273" s="483"/>
      <c r="AG273" s="96" t="s">
        <v>105</v>
      </c>
      <c r="AH273" s="85" t="s">
        <v>10</v>
      </c>
      <c r="AI273" s="176">
        <f>(AH258)*AO266/100</f>
        <v>7.3600422979978916E-2</v>
      </c>
      <c r="AJ273" s="44"/>
      <c r="AK273" s="85" t="s">
        <v>85</v>
      </c>
      <c r="AL273" s="114" t="s">
        <v>86</v>
      </c>
      <c r="AM273" s="252" t="s">
        <v>203</v>
      </c>
      <c r="AN273" s="85" t="str">
        <f>$T$21</f>
        <v>[leaching/ runoff]</v>
      </c>
      <c r="AO273" s="85">
        <f>$U$21</f>
        <v>0</v>
      </c>
      <c r="AP273" s="186"/>
      <c r="AS273" s="96" t="s">
        <v>370</v>
      </c>
      <c r="AT273" s="85" t="s">
        <v>10</v>
      </c>
      <c r="AU273" s="198">
        <f>SUM(AU266:AU269)</f>
        <v>12.331715276629378</v>
      </c>
      <c r="AY273" s="44"/>
      <c r="AZ273" s="44"/>
      <c r="BA273" s="44"/>
      <c r="BB273" s="48"/>
      <c r="BC273" s="483"/>
    </row>
    <row r="274" spans="1:55" x14ac:dyDescent="0.25">
      <c r="A274" s="302"/>
      <c r="E274" s="96" t="s">
        <v>106</v>
      </c>
      <c r="F274" s="85" t="s">
        <v>10</v>
      </c>
      <c r="G274" s="198">
        <f>(F258)*N268/100</f>
        <v>5.0214542253645605E-2</v>
      </c>
      <c r="H274" s="44"/>
      <c r="I274" s="85" t="s">
        <v>87</v>
      </c>
      <c r="J274" s="114" t="s">
        <v>88</v>
      </c>
      <c r="K274" s="252" t="s">
        <v>203</v>
      </c>
      <c r="L274" s="85" t="str">
        <f>$T$22</f>
        <v>EF5</v>
      </c>
      <c r="M274" s="85">
        <f>$U$22</f>
        <v>1.0999999999999999E-2</v>
      </c>
      <c r="N274" s="186"/>
      <c r="T274" s="44"/>
      <c r="U274" s="44"/>
      <c r="V274" s="65"/>
      <c r="W274" s="85"/>
      <c r="X274" s="85"/>
      <c r="Y274" s="85"/>
      <c r="Z274" s="48"/>
      <c r="AA274" s="302"/>
      <c r="AC274" s="483"/>
      <c r="AG274" s="96" t="s">
        <v>106</v>
      </c>
      <c r="AH274" s="85" t="s">
        <v>10</v>
      </c>
      <c r="AI274" s="198">
        <f>(AH258)*AP268/100</f>
        <v>3.864022206448893E-2</v>
      </c>
      <c r="AJ274" s="44"/>
      <c r="AK274" s="85" t="s">
        <v>87</v>
      </c>
      <c r="AL274" s="114" t="s">
        <v>88</v>
      </c>
      <c r="AM274" s="252" t="s">
        <v>203</v>
      </c>
      <c r="AN274" s="85" t="str">
        <f>$T$22</f>
        <v>EF5</v>
      </c>
      <c r="AO274" s="85">
        <f>$U$22</f>
        <v>1.0999999999999999E-2</v>
      </c>
      <c r="AP274" s="186"/>
      <c r="AV274" s="44"/>
      <c r="AW274" s="44"/>
      <c r="AX274" s="65"/>
      <c r="AY274" s="85"/>
      <c r="AZ274" s="85"/>
      <c r="BA274" s="85"/>
      <c r="BB274" s="48"/>
      <c r="BC274" s="483"/>
    </row>
    <row r="275" spans="1:55" x14ac:dyDescent="0.25">
      <c r="A275" s="302"/>
      <c r="E275" s="96" t="s">
        <v>200</v>
      </c>
      <c r="F275" s="85" t="s">
        <v>10</v>
      </c>
      <c r="G275" s="198">
        <f>F258*M275/100</f>
        <v>5.7388048289880693E-2</v>
      </c>
      <c r="H275" s="44"/>
      <c r="I275" s="85" t="s">
        <v>201</v>
      </c>
      <c r="J275" s="44"/>
      <c r="K275" s="251" t="s">
        <v>203</v>
      </c>
      <c r="L275" s="85" t="str">
        <f>$T$23</f>
        <v>FracLEACH</v>
      </c>
      <c r="M275" s="85">
        <f>$U$23</f>
        <v>0.24</v>
      </c>
      <c r="N275" s="186"/>
      <c r="Q275" s="96" t="s">
        <v>136</v>
      </c>
      <c r="R275" s="85"/>
      <c r="S275" s="85"/>
      <c r="T275" s="85"/>
      <c r="U275" s="85"/>
      <c r="V275" s="186" t="s">
        <v>210</v>
      </c>
      <c r="W275" s="44"/>
      <c r="X275" s="44"/>
      <c r="Y275" s="44"/>
      <c r="Z275" s="48"/>
      <c r="AA275" s="302"/>
      <c r="AC275" s="483"/>
      <c r="AG275" s="96" t="s">
        <v>200</v>
      </c>
      <c r="AH275" s="85" t="s">
        <v>10</v>
      </c>
      <c r="AI275" s="198">
        <f>AH258*AO275/100</f>
        <v>4.4160253787987352E-2</v>
      </c>
      <c r="AJ275" s="44"/>
      <c r="AK275" s="85" t="s">
        <v>201</v>
      </c>
      <c r="AL275" s="44"/>
      <c r="AM275" s="251" t="s">
        <v>203</v>
      </c>
      <c r="AN275" s="85" t="str">
        <f>$T$23</f>
        <v>FracLEACH</v>
      </c>
      <c r="AO275" s="85">
        <f>$U$23</f>
        <v>0.24</v>
      </c>
      <c r="AP275" s="186"/>
      <c r="AS275" s="96" t="s">
        <v>136</v>
      </c>
      <c r="AT275" s="85"/>
      <c r="AU275" s="85"/>
      <c r="AV275" s="85"/>
      <c r="AW275" s="85"/>
      <c r="AX275" s="186" t="s">
        <v>210</v>
      </c>
      <c r="AY275" s="44"/>
      <c r="AZ275" s="44"/>
      <c r="BA275" s="44"/>
      <c r="BB275" s="48"/>
      <c r="BC275" s="483"/>
    </row>
    <row r="276" spans="1:55" x14ac:dyDescent="0.25">
      <c r="A276" s="302"/>
      <c r="E276" s="66"/>
      <c r="F276" s="85"/>
      <c r="G276" s="176"/>
      <c r="H276" s="44"/>
      <c r="I276" s="85"/>
      <c r="J276" s="44"/>
      <c r="K276" s="251" t="s">
        <v>203</v>
      </c>
      <c r="L276" s="24"/>
      <c r="M276" s="24"/>
      <c r="N276" s="196"/>
      <c r="Q276" s="96" t="s">
        <v>375</v>
      </c>
      <c r="R276" s="85" t="s">
        <v>10</v>
      </c>
      <c r="S276" s="176">
        <f>(S271*X255/100)</f>
        <v>4.1681558643160317E-2</v>
      </c>
      <c r="T276" s="212" t="s">
        <v>561</v>
      </c>
      <c r="U276" s="212" t="s">
        <v>379</v>
      </c>
      <c r="V276" s="186" t="s">
        <v>210</v>
      </c>
      <c r="W276" s="44"/>
      <c r="X276" s="44"/>
      <c r="Y276" s="44"/>
      <c r="Z276" s="44"/>
      <c r="AA276" s="302"/>
      <c r="AC276" s="483"/>
      <c r="AG276" s="66"/>
      <c r="AH276" s="85"/>
      <c r="AI276" s="176"/>
      <c r="AJ276" s="44"/>
      <c r="AK276" s="85"/>
      <c r="AL276" s="44"/>
      <c r="AM276" s="251" t="s">
        <v>203</v>
      </c>
      <c r="AN276" s="24"/>
      <c r="AO276" s="24"/>
      <c r="AP276" s="196"/>
      <c r="AS276" s="96" t="s">
        <v>375</v>
      </c>
      <c r="AT276" s="85" t="s">
        <v>10</v>
      </c>
      <c r="AU276" s="176">
        <f>(AU271*AZ255/100)</f>
        <v>3.4638682981015814E-2</v>
      </c>
      <c r="AV276" s="212" t="s">
        <v>561</v>
      </c>
      <c r="AW276" s="212" t="s">
        <v>379</v>
      </c>
      <c r="AX276" s="186" t="s">
        <v>210</v>
      </c>
      <c r="AY276" s="44"/>
      <c r="AZ276" s="44"/>
      <c r="BA276" s="44"/>
      <c r="BB276" s="44"/>
      <c r="BC276" s="483"/>
    </row>
    <row r="277" spans="1:55" x14ac:dyDescent="0.25">
      <c r="A277" s="302"/>
      <c r="E277" s="96" t="s">
        <v>89</v>
      </c>
      <c r="F277" s="85"/>
      <c r="G277" s="176"/>
      <c r="H277" s="44"/>
      <c r="I277" s="85"/>
      <c r="J277" s="44"/>
      <c r="K277" s="251"/>
      <c r="L277" s="85"/>
      <c r="M277" s="85"/>
      <c r="N277" s="85"/>
      <c r="O277" s="44"/>
      <c r="Q277" s="96" t="s">
        <v>373</v>
      </c>
      <c r="R277" s="85" t="s">
        <v>10</v>
      </c>
      <c r="S277" s="176">
        <f>(S273*Y260/100)*0.35</f>
        <v>5.8543007753014256E-2</v>
      </c>
      <c r="T277" s="212" t="s">
        <v>141</v>
      </c>
      <c r="U277" s="212" t="s">
        <v>143</v>
      </c>
      <c r="V277" s="184" t="s">
        <v>210</v>
      </c>
      <c r="W277" s="85"/>
      <c r="X277" s="85"/>
      <c r="Y277" s="85"/>
      <c r="Z277" s="44"/>
      <c r="AA277" s="302"/>
      <c r="AC277" s="483"/>
      <c r="AG277" s="96" t="s">
        <v>89</v>
      </c>
      <c r="AH277" s="85"/>
      <c r="AI277" s="176"/>
      <c r="AJ277" s="44"/>
      <c r="AK277" s="85"/>
      <c r="AL277" s="44"/>
      <c r="AM277" s="251"/>
      <c r="AN277" s="85"/>
      <c r="AO277" s="85"/>
      <c r="AP277" s="85"/>
      <c r="AQ277" s="44"/>
      <c r="AS277" s="96" t="s">
        <v>373</v>
      </c>
      <c r="AT277" s="85" t="s">
        <v>10</v>
      </c>
      <c r="AU277" s="176">
        <f>(AU273*BA260/100)*0.35</f>
        <v>4.316100346820282E-2</v>
      </c>
      <c r="AV277" s="212" t="s">
        <v>141</v>
      </c>
      <c r="AW277" s="212" t="s">
        <v>143</v>
      </c>
      <c r="AX277" s="184" t="s">
        <v>210</v>
      </c>
      <c r="AY277" s="85"/>
      <c r="AZ277" s="85"/>
      <c r="BA277" s="85"/>
      <c r="BB277" s="44"/>
      <c r="BC277" s="483"/>
    </row>
    <row r="278" spans="1:55" x14ac:dyDescent="0.25">
      <c r="A278" s="302"/>
      <c r="E278" s="97" t="s">
        <v>236</v>
      </c>
      <c r="F278" s="85"/>
      <c r="G278" s="176"/>
      <c r="H278" s="44"/>
      <c r="I278" s="85"/>
      <c r="J278" s="116"/>
      <c r="K278" s="252"/>
      <c r="L278" s="85"/>
      <c r="M278" s="85"/>
      <c r="N278" s="85"/>
      <c r="O278" s="44"/>
      <c r="Q278" s="97" t="s">
        <v>376</v>
      </c>
      <c r="R278" s="84" t="s">
        <v>10</v>
      </c>
      <c r="S278" s="456">
        <f>S272*X256/100</f>
        <v>0.1798768803972893</v>
      </c>
      <c r="T278" s="458" t="s">
        <v>562</v>
      </c>
      <c r="U278" s="212" t="s">
        <v>380</v>
      </c>
      <c r="V278" s="184" t="s">
        <v>210</v>
      </c>
      <c r="W278" s="85"/>
      <c r="X278" s="85"/>
      <c r="Y278" s="85"/>
      <c r="Z278" s="44"/>
      <c r="AA278" s="302"/>
      <c r="AC278" s="483"/>
      <c r="AG278" s="97" t="s">
        <v>236</v>
      </c>
      <c r="AH278" s="85"/>
      <c r="AI278" s="176"/>
      <c r="AJ278" s="44"/>
      <c r="AK278" s="85"/>
      <c r="AL278" s="116"/>
      <c r="AM278" s="252"/>
      <c r="AN278" s="85"/>
      <c r="AO278" s="85"/>
      <c r="AP278" s="85"/>
      <c r="AQ278" s="44"/>
      <c r="AS278" s="97" t="s">
        <v>376</v>
      </c>
      <c r="AT278" s="84" t="s">
        <v>10</v>
      </c>
      <c r="AU278" s="456">
        <f>AU272*AZ256/100</f>
        <v>0.14909705480524338</v>
      </c>
      <c r="AV278" s="458" t="s">
        <v>562</v>
      </c>
      <c r="AW278" s="212" t="s">
        <v>380</v>
      </c>
      <c r="AX278" s="184" t="s">
        <v>210</v>
      </c>
      <c r="AY278" s="85"/>
      <c r="AZ278" s="85"/>
      <c r="BA278" s="85"/>
      <c r="BB278" s="44"/>
      <c r="BC278" s="483"/>
    </row>
    <row r="279" spans="1:55" x14ac:dyDescent="0.25">
      <c r="A279" s="302"/>
      <c r="E279" s="97" t="s">
        <v>107</v>
      </c>
      <c r="F279" s="85" t="s">
        <v>10</v>
      </c>
      <c r="G279" s="282">
        <f>(F261+F262)*M255/100</f>
        <v>1.8360713728899695E-2</v>
      </c>
      <c r="H279" s="44"/>
      <c r="I279" s="85"/>
      <c r="J279" s="116"/>
      <c r="K279" s="252"/>
      <c r="L279" s="85"/>
      <c r="M279" s="85"/>
      <c r="N279" s="85"/>
      <c r="O279" s="44"/>
      <c r="Q279" s="97" t="s">
        <v>544</v>
      </c>
      <c r="R279" s="84" t="s">
        <v>10</v>
      </c>
      <c r="S279" s="432">
        <f>S272*X256/100*(1+X258*C264)</f>
        <v>0.20685841245688269</v>
      </c>
      <c r="T279" s="458" t="s">
        <v>565</v>
      </c>
      <c r="U279" s="212" t="s">
        <v>380</v>
      </c>
      <c r="V279" s="184" t="s">
        <v>210</v>
      </c>
      <c r="W279" s="44"/>
      <c r="X279" s="44"/>
      <c r="Y279" s="44"/>
      <c r="Z279" s="44"/>
      <c r="AA279" s="302"/>
      <c r="AC279" s="483"/>
      <c r="AG279" s="97" t="s">
        <v>107</v>
      </c>
      <c r="AH279" s="85" t="s">
        <v>10</v>
      </c>
      <c r="AI279" s="282">
        <f>(AH261+AH262)*AO255/100</f>
        <v>1.525477583477345E-2</v>
      </c>
      <c r="AJ279" s="44"/>
      <c r="AK279" s="85"/>
      <c r="AL279" s="116"/>
      <c r="AM279" s="252"/>
      <c r="AN279" s="85"/>
      <c r="AO279" s="85"/>
      <c r="AP279" s="85"/>
      <c r="AQ279" s="44"/>
      <c r="AS279" s="97" t="s">
        <v>544</v>
      </c>
      <c r="AT279" s="84" t="s">
        <v>10</v>
      </c>
      <c r="AU279" s="432">
        <f>AU272*AZ256/100*(1+AZ258*AE264)</f>
        <v>0.17146161302602989</v>
      </c>
      <c r="AV279" s="458" t="s">
        <v>565</v>
      </c>
      <c r="AW279" s="212" t="s">
        <v>380</v>
      </c>
      <c r="AX279" s="184" t="s">
        <v>210</v>
      </c>
      <c r="AY279" s="44"/>
      <c r="AZ279" s="44"/>
      <c r="BA279" s="44"/>
      <c r="BB279" s="44"/>
      <c r="BC279" s="483"/>
    </row>
    <row r="280" spans="1:55" x14ac:dyDescent="0.25">
      <c r="A280" s="302"/>
      <c r="E280" s="97" t="s">
        <v>108</v>
      </c>
      <c r="F280" s="85" t="s">
        <v>10</v>
      </c>
      <c r="G280" s="282">
        <f>(G261+G262)*N255/100</f>
        <v>0</v>
      </c>
      <c r="H280" s="44"/>
      <c r="I280" s="85"/>
      <c r="J280" s="116"/>
      <c r="K280" s="252"/>
      <c r="L280" s="85"/>
      <c r="M280" s="85"/>
      <c r="N280" s="85"/>
      <c r="O280" s="44"/>
      <c r="Q280" s="96" t="s">
        <v>374</v>
      </c>
      <c r="R280" s="85" t="s">
        <v>10</v>
      </c>
      <c r="S280" s="198">
        <f>(S273*Y262/100)*0.35</f>
        <v>0.17562902325904278</v>
      </c>
      <c r="T280" s="212" t="s">
        <v>142</v>
      </c>
      <c r="U280" s="212" t="s">
        <v>144</v>
      </c>
      <c r="V280" s="184" t="s">
        <v>210</v>
      </c>
      <c r="W280" s="44"/>
      <c r="X280" s="44"/>
      <c r="Y280" s="44"/>
      <c r="Z280" s="44"/>
      <c r="AA280" s="302"/>
      <c r="AC280" s="483"/>
      <c r="AG280" s="97" t="s">
        <v>108</v>
      </c>
      <c r="AH280" s="85" t="s">
        <v>10</v>
      </c>
      <c r="AI280" s="282">
        <f>(AI261+AI262)*AP255/100</f>
        <v>0</v>
      </c>
      <c r="AJ280" s="44"/>
      <c r="AK280" s="85"/>
      <c r="AL280" s="116"/>
      <c r="AM280" s="252"/>
      <c r="AN280" s="85"/>
      <c r="AO280" s="85"/>
      <c r="AP280" s="85"/>
      <c r="AQ280" s="44"/>
      <c r="AS280" s="96" t="s">
        <v>374</v>
      </c>
      <c r="AT280" s="85" t="s">
        <v>10</v>
      </c>
      <c r="AU280" s="198">
        <f>(AU273*BA262/100)*0.35</f>
        <v>0.12948301040460847</v>
      </c>
      <c r="AV280" s="212" t="s">
        <v>142</v>
      </c>
      <c r="AW280" s="212" t="s">
        <v>144</v>
      </c>
      <c r="AX280" s="184" t="s">
        <v>210</v>
      </c>
      <c r="AY280" s="44"/>
      <c r="AZ280" s="44"/>
      <c r="BA280" s="44"/>
      <c r="BB280" s="44"/>
      <c r="BC280" s="483"/>
    </row>
    <row r="281" spans="1:55" x14ac:dyDescent="0.25">
      <c r="A281" s="302"/>
      <c r="E281" s="97" t="s">
        <v>109</v>
      </c>
      <c r="F281" s="85" t="s">
        <v>10</v>
      </c>
      <c r="G281" s="197">
        <f>F263*M257/100</f>
        <v>0.82568442208888337</v>
      </c>
      <c r="H281" s="44"/>
      <c r="I281" s="85"/>
      <c r="J281" s="116"/>
      <c r="K281" s="252"/>
      <c r="L281" s="85"/>
      <c r="M281" s="85"/>
      <c r="N281" s="85"/>
      <c r="O281" s="44"/>
      <c r="Q281" s="97" t="s">
        <v>383</v>
      </c>
      <c r="R281" s="85"/>
      <c r="S281" s="85"/>
      <c r="T281" s="85"/>
      <c r="U281" s="85"/>
      <c r="V281" s="186" t="s">
        <v>210</v>
      </c>
      <c r="W281" s="44"/>
      <c r="X281" s="44"/>
      <c r="Y281" s="44"/>
      <c r="Z281" s="44"/>
      <c r="AA281" s="302"/>
      <c r="AC281" s="483"/>
      <c r="AG281" s="97" t="s">
        <v>109</v>
      </c>
      <c r="AH281" s="85" t="s">
        <v>10</v>
      </c>
      <c r="AI281" s="197">
        <f>AH263*AO257/100</f>
        <v>0.68439654534878813</v>
      </c>
      <c r="AJ281" s="44"/>
      <c r="AK281" s="85"/>
      <c r="AL281" s="116"/>
      <c r="AM281" s="252"/>
      <c r="AN281" s="85"/>
      <c r="AO281" s="85"/>
      <c r="AP281" s="85"/>
      <c r="AQ281" s="44"/>
      <c r="AS281" s="97" t="s">
        <v>383</v>
      </c>
      <c r="AT281" s="85"/>
      <c r="AU281" s="85"/>
      <c r="AV281" s="85"/>
      <c r="AW281" s="85"/>
      <c r="AX281" s="186" t="s">
        <v>210</v>
      </c>
      <c r="AY281" s="44"/>
      <c r="AZ281" s="44"/>
      <c r="BA281" s="44"/>
      <c r="BB281" s="44"/>
      <c r="BC281" s="483"/>
    </row>
    <row r="282" spans="1:55" x14ac:dyDescent="0.25">
      <c r="A282" s="302"/>
      <c r="E282" s="97" t="s">
        <v>110</v>
      </c>
      <c r="F282" s="85" t="s">
        <v>10</v>
      </c>
      <c r="G282" s="197">
        <f>(G261)*N256/100</f>
        <v>0</v>
      </c>
      <c r="H282" s="44"/>
      <c r="I282" s="85"/>
      <c r="J282" s="116"/>
      <c r="K282" s="252"/>
      <c r="L282" s="85"/>
      <c r="M282" s="85"/>
      <c r="N282" s="85"/>
      <c r="O282" s="44"/>
      <c r="Q282" s="96" t="s">
        <v>12</v>
      </c>
      <c r="R282" s="84" t="s">
        <v>13</v>
      </c>
      <c r="S282" s="182">
        <f>SUM(S276:S277)*(44/28)*$U$13</f>
        <v>42.996338983958893</v>
      </c>
      <c r="T282" s="85"/>
      <c r="U282" s="85"/>
      <c r="V282" s="186" t="s">
        <v>210</v>
      </c>
      <c r="AA282" s="302"/>
      <c r="AC282" s="483"/>
      <c r="AG282" s="97" t="s">
        <v>110</v>
      </c>
      <c r="AH282" s="85" t="s">
        <v>10</v>
      </c>
      <c r="AI282" s="197">
        <f>(AI261)*AP256/100</f>
        <v>0</v>
      </c>
      <c r="AJ282" s="44"/>
      <c r="AK282" s="85"/>
      <c r="AL282" s="116"/>
      <c r="AM282" s="252"/>
      <c r="AN282" s="85"/>
      <c r="AO282" s="85"/>
      <c r="AP282" s="85"/>
      <c r="AQ282" s="44"/>
      <c r="AS282" s="96" t="s">
        <v>12</v>
      </c>
      <c r="AT282" s="84" t="s">
        <v>13</v>
      </c>
      <c r="AU282" s="182">
        <f>SUM(AU276:AU277)*(44/28)*$U$13</f>
        <v>33.376065486714793</v>
      </c>
      <c r="AV282" s="85"/>
      <c r="AW282" s="85"/>
      <c r="AX282" s="186" t="s">
        <v>210</v>
      </c>
      <c r="BC282" s="483"/>
    </row>
    <row r="283" spans="1:55" x14ac:dyDescent="0.25">
      <c r="A283" s="302"/>
      <c r="E283" s="96" t="s">
        <v>237</v>
      </c>
      <c r="F283" s="85"/>
      <c r="G283" s="176"/>
      <c r="H283" s="44"/>
      <c r="I283" s="85"/>
      <c r="J283" s="44"/>
      <c r="K283" s="251"/>
      <c r="L283" s="85"/>
      <c r="M283" s="85"/>
      <c r="N283" s="85"/>
      <c r="O283" s="44"/>
      <c r="Q283" s="96" t="s">
        <v>14</v>
      </c>
      <c r="R283" s="84" t="s">
        <v>13</v>
      </c>
      <c r="S283" s="176">
        <f>SUM(S278,S280)*(44/28)*X267*$U$13</f>
        <v>1.5251203266856646</v>
      </c>
      <c r="T283" s="85"/>
      <c r="U283" s="85"/>
      <c r="V283" s="186"/>
      <c r="AA283" s="302"/>
      <c r="AC283" s="483"/>
      <c r="AG283" s="96" t="s">
        <v>237</v>
      </c>
      <c r="AH283" s="85"/>
      <c r="AI283" s="176"/>
      <c r="AJ283" s="44"/>
      <c r="AK283" s="85"/>
      <c r="AL283" s="44"/>
      <c r="AM283" s="251"/>
      <c r="AN283" s="85"/>
      <c r="AO283" s="85"/>
      <c r="AP283" s="85"/>
      <c r="AQ283" s="44"/>
      <c r="AS283" s="96" t="s">
        <v>14</v>
      </c>
      <c r="AT283" s="84" t="s">
        <v>13</v>
      </c>
      <c r="AU283" s="176">
        <f>SUM(AU278,AU280)*(44/28)*AZ267*$U$13</f>
        <v>1.1951084797502642</v>
      </c>
      <c r="AV283" s="85"/>
      <c r="AW283" s="85"/>
      <c r="AX283" s="186"/>
      <c r="BC283" s="483"/>
    </row>
    <row r="284" spans="1:55" x14ac:dyDescent="0.25">
      <c r="A284" s="302"/>
      <c r="E284" s="97" t="s">
        <v>107</v>
      </c>
      <c r="F284" s="85" t="s">
        <v>10</v>
      </c>
      <c r="G284" s="197">
        <f>((F266)+(F267*C262/365))*M259/100</f>
        <v>1.2386253755899253E-2</v>
      </c>
      <c r="H284" s="44"/>
      <c r="I284" s="85" t="s">
        <v>111</v>
      </c>
      <c r="J284" s="114" t="s">
        <v>11</v>
      </c>
      <c r="K284" s="252" t="s">
        <v>203</v>
      </c>
      <c r="L284" s="85"/>
      <c r="M284" s="85"/>
      <c r="N284" s="85"/>
      <c r="O284" s="44"/>
      <c r="Q284" s="96" t="s">
        <v>545</v>
      </c>
      <c r="R284" s="84" t="s">
        <v>13</v>
      </c>
      <c r="S284" s="258">
        <f>SUM(S279,S280)*(44/28)*X267*$U$13</f>
        <v>1.6408710992213202</v>
      </c>
      <c r="T284" s="85"/>
      <c r="U284" s="85"/>
      <c r="V284" s="186"/>
      <c r="AA284" s="302"/>
      <c r="AC284" s="483"/>
      <c r="AG284" s="97" t="s">
        <v>107</v>
      </c>
      <c r="AH284" s="85" t="s">
        <v>10</v>
      </c>
      <c r="AI284" s="197">
        <f>((AH266)+(AH267*AE262/365))*AO259/100</f>
        <v>9.0773855008640675E-3</v>
      </c>
      <c r="AJ284" s="44"/>
      <c r="AK284" s="85" t="s">
        <v>111</v>
      </c>
      <c r="AL284" s="114" t="s">
        <v>11</v>
      </c>
      <c r="AM284" s="252" t="s">
        <v>203</v>
      </c>
      <c r="AN284" s="85"/>
      <c r="AO284" s="85"/>
      <c r="AP284" s="85"/>
      <c r="AQ284" s="44"/>
      <c r="AS284" s="96" t="s">
        <v>545</v>
      </c>
      <c r="AT284" s="84" t="s">
        <v>13</v>
      </c>
      <c r="AU284" s="258">
        <f>SUM(AU279,AU280)*(44/28)*AZ267*$U$13</f>
        <v>1.2910524345174383</v>
      </c>
      <c r="AV284" s="85"/>
      <c r="AW284" s="85"/>
      <c r="AX284" s="186"/>
      <c r="BC284" s="483"/>
    </row>
    <row r="285" spans="1:55" x14ac:dyDescent="0.25">
      <c r="A285" s="302"/>
      <c r="E285" s="97" t="s">
        <v>108</v>
      </c>
      <c r="F285" s="85" t="s">
        <v>10</v>
      </c>
      <c r="G285" s="197">
        <f>((G266)+(G267*C262/365))*N259/100</f>
        <v>0.10080533955623068</v>
      </c>
      <c r="H285" s="44"/>
      <c r="I285" s="85" t="s">
        <v>140</v>
      </c>
      <c r="J285" s="116"/>
      <c r="K285" s="251" t="s">
        <v>203</v>
      </c>
      <c r="L285" s="85"/>
      <c r="M285" s="85"/>
      <c r="N285" s="85"/>
      <c r="O285" s="44"/>
      <c r="Q285" s="122"/>
      <c r="R285" s="98"/>
      <c r="S285" s="199"/>
      <c r="T285" s="101"/>
      <c r="U285" s="101"/>
      <c r="V285" s="196" t="s">
        <v>210</v>
      </c>
      <c r="AA285" s="302"/>
      <c r="AC285" s="483"/>
      <c r="AG285" s="97" t="s">
        <v>108</v>
      </c>
      <c r="AH285" s="85" t="s">
        <v>10</v>
      </c>
      <c r="AI285" s="197">
        <f>((AI266)+(AI267*AE262/365))*AP259/100</f>
        <v>7.3818939201685987E-2</v>
      </c>
      <c r="AJ285" s="44"/>
      <c r="AK285" s="85" t="s">
        <v>140</v>
      </c>
      <c r="AL285" s="116"/>
      <c r="AM285" s="251" t="s">
        <v>203</v>
      </c>
      <c r="AN285" s="85"/>
      <c r="AO285" s="85"/>
      <c r="AP285" s="85"/>
      <c r="AQ285" s="44"/>
      <c r="AS285" s="122"/>
      <c r="AT285" s="98"/>
      <c r="AU285" s="199"/>
      <c r="AV285" s="101"/>
      <c r="AW285" s="101"/>
      <c r="AX285" s="196" t="s">
        <v>210</v>
      </c>
      <c r="BC285" s="483"/>
    </row>
    <row r="286" spans="1:55" x14ac:dyDescent="0.25">
      <c r="A286" s="302"/>
      <c r="E286" s="97" t="s">
        <v>109</v>
      </c>
      <c r="F286" s="85" t="s">
        <v>10</v>
      </c>
      <c r="G286" s="197">
        <f>F268*M261/100</f>
        <v>0.5623580388281042</v>
      </c>
      <c r="H286" s="44"/>
      <c r="I286" s="85" t="s">
        <v>112</v>
      </c>
      <c r="J286" s="114" t="s">
        <v>90</v>
      </c>
      <c r="K286" s="252" t="s">
        <v>203</v>
      </c>
      <c r="L286" s="85"/>
      <c r="M286" s="85"/>
      <c r="N286" s="85"/>
      <c r="O286" s="44"/>
      <c r="AA286" s="302"/>
      <c r="AC286" s="483"/>
      <c r="AG286" s="97" t="s">
        <v>109</v>
      </c>
      <c r="AH286" s="85" t="s">
        <v>10</v>
      </c>
      <c r="AI286" s="197">
        <f>AH268*AO261/100</f>
        <v>0.41063792720927289</v>
      </c>
      <c r="AJ286" s="44"/>
      <c r="AK286" s="85" t="s">
        <v>112</v>
      </c>
      <c r="AL286" s="114" t="s">
        <v>90</v>
      </c>
      <c r="AM286" s="252" t="s">
        <v>203</v>
      </c>
      <c r="AN286" s="85"/>
      <c r="AO286" s="85"/>
      <c r="AP286" s="85"/>
      <c r="AQ286" s="44"/>
      <c r="BC286" s="483"/>
    </row>
    <row r="287" spans="1:55" x14ac:dyDescent="0.25">
      <c r="A287" s="302"/>
      <c r="E287" s="97" t="s">
        <v>110</v>
      </c>
      <c r="F287" s="85" t="s">
        <v>10</v>
      </c>
      <c r="G287" s="197">
        <f>(G266)*N260/100</f>
        <v>0.55738141901546623</v>
      </c>
      <c r="H287" s="44"/>
      <c r="I287" s="44"/>
      <c r="J287" s="116"/>
      <c r="K287" s="252" t="s">
        <v>203</v>
      </c>
      <c r="L287" s="85"/>
      <c r="M287" s="85"/>
      <c r="N287" s="85"/>
      <c r="O287" s="44"/>
      <c r="AA287" s="302"/>
      <c r="AC287" s="483"/>
      <c r="AG287" s="97" t="s">
        <v>110</v>
      </c>
      <c r="AH287" s="85" t="s">
        <v>10</v>
      </c>
      <c r="AI287" s="197">
        <f>(AI266)*AP260/100</f>
        <v>0.40848234753888307</v>
      </c>
      <c r="AJ287" s="44"/>
      <c r="AK287" s="44"/>
      <c r="AL287" s="116"/>
      <c r="AM287" s="252" t="s">
        <v>203</v>
      </c>
      <c r="AN287" s="85"/>
      <c r="AO287" s="85"/>
      <c r="AP287" s="85"/>
      <c r="AQ287" s="44"/>
      <c r="BC287" s="483"/>
    </row>
    <row r="288" spans="1:55" x14ac:dyDescent="0.25">
      <c r="A288" s="302"/>
      <c r="E288" s="97"/>
      <c r="F288" s="85"/>
      <c r="G288" s="176"/>
      <c r="H288" s="44"/>
      <c r="I288" s="85"/>
      <c r="J288" s="116"/>
      <c r="K288" s="252"/>
      <c r="L288" s="44"/>
      <c r="M288" s="44"/>
      <c r="N288" s="44"/>
      <c r="O288" s="44"/>
      <c r="V288" s="56" t="s">
        <v>210</v>
      </c>
      <c r="AA288" s="302"/>
      <c r="AC288" s="483"/>
      <c r="AG288" s="97"/>
      <c r="AH288" s="85"/>
      <c r="AI288" s="176"/>
      <c r="AJ288" s="44"/>
      <c r="AK288" s="85"/>
      <c r="AL288" s="116"/>
      <c r="AM288" s="252"/>
      <c r="AN288" s="44"/>
      <c r="AO288" s="44"/>
      <c r="AP288" s="44"/>
      <c r="AQ288" s="44"/>
      <c r="AX288" s="56" t="s">
        <v>210</v>
      </c>
      <c r="BC288" s="483"/>
    </row>
    <row r="289" spans="1:55" x14ac:dyDescent="0.25">
      <c r="A289" s="302"/>
      <c r="E289" s="97" t="s">
        <v>239</v>
      </c>
      <c r="F289" s="85" t="s">
        <v>10</v>
      </c>
      <c r="G289" s="176">
        <f>_xlfn.AGGREGATE(9,6,G279,G280,G284,G285)</f>
        <v>0.13155230704102963</v>
      </c>
      <c r="H289" s="44"/>
      <c r="I289" s="85" t="s">
        <v>113</v>
      </c>
      <c r="J289" s="100"/>
      <c r="K289" s="252" t="s">
        <v>203</v>
      </c>
      <c r="L289" s="44"/>
      <c r="M289" s="44"/>
      <c r="N289" s="44"/>
      <c r="O289" s="44"/>
      <c r="V289" s="56" t="s">
        <v>210</v>
      </c>
      <c r="AA289" s="302"/>
      <c r="AC289" s="483"/>
      <c r="AG289" s="97" t="s">
        <v>239</v>
      </c>
      <c r="AH289" s="85" t="s">
        <v>10</v>
      </c>
      <c r="AI289" s="176">
        <f>_xlfn.AGGREGATE(9,6,AI279,AI280,AI284,AI285)</f>
        <v>9.815110053732351E-2</v>
      </c>
      <c r="AJ289" s="44"/>
      <c r="AK289" s="85" t="s">
        <v>113</v>
      </c>
      <c r="AL289" s="100"/>
      <c r="AM289" s="252" t="s">
        <v>203</v>
      </c>
      <c r="AN289" s="44"/>
      <c r="AO289" s="44"/>
      <c r="AP289" s="44"/>
      <c r="AQ289" s="44"/>
      <c r="AX289" s="56" t="s">
        <v>210</v>
      </c>
      <c r="BC289" s="483"/>
    </row>
    <row r="290" spans="1:55" x14ac:dyDescent="0.25">
      <c r="A290" s="302"/>
      <c r="E290" s="97" t="s">
        <v>240</v>
      </c>
      <c r="F290" s="85" t="s">
        <v>10</v>
      </c>
      <c r="G290" s="176">
        <f>_xlfn.AGGREGATE(9,6,G281,G282,G286,G287)</f>
        <v>1.9454238799324539</v>
      </c>
      <c r="H290" s="44"/>
      <c r="I290" s="85" t="s">
        <v>114</v>
      </c>
      <c r="J290" s="100"/>
      <c r="K290" s="252" t="s">
        <v>203</v>
      </c>
      <c r="L290" s="85"/>
      <c r="M290" s="85"/>
      <c r="N290" s="85"/>
      <c r="O290" s="44"/>
      <c r="V290" s="56" t="s">
        <v>210</v>
      </c>
      <c r="AA290" s="302"/>
      <c r="AC290" s="483"/>
      <c r="AG290" s="97" t="s">
        <v>240</v>
      </c>
      <c r="AH290" s="85" t="s">
        <v>10</v>
      </c>
      <c r="AI290" s="176">
        <f>_xlfn.AGGREGATE(9,6,AI281,AI282,AI286,AI287)</f>
        <v>1.503516820096944</v>
      </c>
      <c r="AJ290" s="44"/>
      <c r="AK290" s="85" t="s">
        <v>114</v>
      </c>
      <c r="AL290" s="100"/>
      <c r="AM290" s="252" t="s">
        <v>203</v>
      </c>
      <c r="AN290" s="85"/>
      <c r="AO290" s="85"/>
      <c r="AP290" s="85"/>
      <c r="AQ290" s="44"/>
      <c r="AX290" s="56" t="s">
        <v>210</v>
      </c>
      <c r="BC290" s="483"/>
    </row>
    <row r="291" spans="1:55" x14ac:dyDescent="0.25">
      <c r="A291" s="302"/>
      <c r="E291" s="97"/>
      <c r="F291" s="85"/>
      <c r="G291" s="85"/>
      <c r="H291" s="44"/>
      <c r="I291" s="85"/>
      <c r="J291" s="100"/>
      <c r="K291" s="252" t="s">
        <v>203</v>
      </c>
      <c r="L291" s="44"/>
      <c r="M291" s="44"/>
      <c r="N291" s="85"/>
      <c r="O291" s="44"/>
      <c r="V291" s="56" t="s">
        <v>210</v>
      </c>
      <c r="AA291" s="302"/>
      <c r="AC291" s="483"/>
      <c r="AG291" s="97"/>
      <c r="AH291" s="85"/>
      <c r="AI291" s="85"/>
      <c r="AJ291" s="44"/>
      <c r="AK291" s="85"/>
      <c r="AL291" s="100"/>
      <c r="AM291" s="252" t="s">
        <v>203</v>
      </c>
      <c r="AN291" s="44"/>
      <c r="AO291" s="44"/>
      <c r="AP291" s="85"/>
      <c r="AQ291" s="44"/>
      <c r="AX291" s="56" t="s">
        <v>210</v>
      </c>
      <c r="BC291" s="483"/>
    </row>
    <row r="292" spans="1:55" x14ac:dyDescent="0.25">
      <c r="A292" s="302"/>
      <c r="E292" s="97" t="s">
        <v>91</v>
      </c>
      <c r="F292" s="85"/>
      <c r="G292" s="85"/>
      <c r="H292" s="44"/>
      <c r="I292" s="85"/>
      <c r="J292" s="85"/>
      <c r="K292" s="251" t="s">
        <v>203</v>
      </c>
      <c r="L292" s="99"/>
      <c r="M292" s="85"/>
      <c r="N292" s="85"/>
      <c r="O292" s="44"/>
      <c r="V292" s="56" t="s">
        <v>210</v>
      </c>
      <c r="AA292" s="302"/>
      <c r="AC292" s="483"/>
      <c r="AG292" s="97" t="s">
        <v>91</v>
      </c>
      <c r="AH292" s="85"/>
      <c r="AI292" s="85"/>
      <c r="AJ292" s="44"/>
      <c r="AK292" s="85"/>
      <c r="AL292" s="85"/>
      <c r="AM292" s="251" t="s">
        <v>203</v>
      </c>
      <c r="AN292" s="99"/>
      <c r="AO292" s="85"/>
      <c r="AP292" s="85"/>
      <c r="AQ292" s="44"/>
      <c r="AX292" s="56" t="s">
        <v>210</v>
      </c>
      <c r="BC292" s="483"/>
    </row>
    <row r="293" spans="1:55" x14ac:dyDescent="0.25">
      <c r="A293" s="302"/>
      <c r="E293" s="97" t="s">
        <v>190</v>
      </c>
      <c r="F293" s="85" t="s">
        <v>13</v>
      </c>
      <c r="G293" s="176">
        <f>G273*(44/28)*$U$13</f>
        <v>41.032454527264697</v>
      </c>
      <c r="H293" s="44"/>
      <c r="I293" s="85" t="s">
        <v>173</v>
      </c>
      <c r="J293" s="85"/>
      <c r="K293" s="251" t="s">
        <v>203</v>
      </c>
      <c r="L293" s="85"/>
      <c r="M293" s="85"/>
      <c r="N293" s="85"/>
      <c r="O293" s="44"/>
      <c r="V293" s="56" t="s">
        <v>210</v>
      </c>
      <c r="AA293" s="302"/>
      <c r="AC293" s="483"/>
      <c r="AG293" s="97" t="s">
        <v>190</v>
      </c>
      <c r="AH293" s="85" t="s">
        <v>13</v>
      </c>
      <c r="AI293" s="176">
        <f>AI273*(44/28)*$U$13</f>
        <v>31.574581458410954</v>
      </c>
      <c r="AJ293" s="44"/>
      <c r="AK293" s="85" t="s">
        <v>173</v>
      </c>
      <c r="AL293" s="85"/>
      <c r="AM293" s="251" t="s">
        <v>203</v>
      </c>
      <c r="AN293" s="85"/>
      <c r="AO293" s="85"/>
      <c r="AP293" s="85"/>
      <c r="AQ293" s="44"/>
      <c r="AX293" s="56" t="s">
        <v>210</v>
      </c>
      <c r="BC293" s="483"/>
    </row>
    <row r="294" spans="1:55" x14ac:dyDescent="0.25">
      <c r="A294" s="302"/>
      <c r="E294" s="97" t="s">
        <v>189</v>
      </c>
      <c r="F294" s="85" t="s">
        <v>13</v>
      </c>
      <c r="G294" s="182">
        <f>G274*(44/28)*M272*$U$13</f>
        <v>0.21542038626813967</v>
      </c>
      <c r="H294" s="44"/>
      <c r="I294" s="85" t="s">
        <v>174</v>
      </c>
      <c r="J294" s="85"/>
      <c r="K294" s="251" t="s">
        <v>203</v>
      </c>
      <c r="L294" s="85"/>
      <c r="M294" s="85"/>
      <c r="N294" s="85"/>
      <c r="O294" s="44"/>
      <c r="V294" s="56" t="s">
        <v>210</v>
      </c>
      <c r="AA294" s="302"/>
      <c r="AC294" s="483"/>
      <c r="AG294" s="97" t="s">
        <v>189</v>
      </c>
      <c r="AH294" s="85" t="s">
        <v>13</v>
      </c>
      <c r="AI294" s="182">
        <f>AI274*(44/28)*AO272*$U$13</f>
        <v>0.16576655265665752</v>
      </c>
      <c r="AJ294" s="44"/>
      <c r="AK294" s="85" t="s">
        <v>174</v>
      </c>
      <c r="AL294" s="85"/>
      <c r="AM294" s="251" t="s">
        <v>203</v>
      </c>
      <c r="AN294" s="85"/>
      <c r="AO294" s="85"/>
      <c r="AP294" s="85"/>
      <c r="AQ294" s="44"/>
      <c r="AX294" s="56" t="s">
        <v>210</v>
      </c>
      <c r="BC294" s="483"/>
    </row>
    <row r="295" spans="1:55" x14ac:dyDescent="0.25">
      <c r="A295" s="302"/>
      <c r="E295" s="97" t="s">
        <v>198</v>
      </c>
      <c r="F295" s="85" t="s">
        <v>13</v>
      </c>
      <c r="G295" s="182">
        <f>G275*(44/28)*M274*$U$13</f>
        <v>0.27081419987994698</v>
      </c>
      <c r="H295" s="44"/>
      <c r="I295" s="85" t="s">
        <v>199</v>
      </c>
      <c r="J295" s="85"/>
      <c r="K295" s="251" t="s">
        <v>203</v>
      </c>
      <c r="L295" s="85"/>
      <c r="M295" s="85"/>
      <c r="N295" s="85"/>
      <c r="O295" s="44"/>
      <c r="V295" s="56" t="s">
        <v>210</v>
      </c>
      <c r="AA295" s="302"/>
      <c r="AC295" s="483"/>
      <c r="AG295" s="97" t="s">
        <v>198</v>
      </c>
      <c r="AH295" s="85" t="s">
        <v>13</v>
      </c>
      <c r="AI295" s="182">
        <f>AI275*(44/28)*AO274*$U$13</f>
        <v>0.20839223762551229</v>
      </c>
      <c r="AJ295" s="44"/>
      <c r="AK295" s="85" t="s">
        <v>199</v>
      </c>
      <c r="AL295" s="85"/>
      <c r="AM295" s="251" t="s">
        <v>203</v>
      </c>
      <c r="AN295" s="85"/>
      <c r="AO295" s="85"/>
      <c r="AP295" s="85"/>
      <c r="AQ295" s="44"/>
      <c r="AX295" s="56" t="s">
        <v>210</v>
      </c>
      <c r="BC295" s="483"/>
    </row>
    <row r="296" spans="1:55" x14ac:dyDescent="0.25">
      <c r="A296" s="302"/>
      <c r="E296" s="66"/>
      <c r="F296" s="44"/>
      <c r="G296" s="44"/>
      <c r="H296" s="44"/>
      <c r="I296" s="44"/>
      <c r="J296" s="44"/>
      <c r="K296" s="251" t="s">
        <v>203</v>
      </c>
      <c r="L296" s="85"/>
      <c r="M296" s="85"/>
      <c r="N296" s="85"/>
      <c r="O296" s="44"/>
      <c r="V296" s="56" t="s">
        <v>210</v>
      </c>
      <c r="AA296" s="302"/>
      <c r="AC296" s="483"/>
      <c r="AG296" s="66"/>
      <c r="AH296" s="44"/>
      <c r="AI296" s="44"/>
      <c r="AJ296" s="44"/>
      <c r="AK296" s="44"/>
      <c r="AL296" s="44"/>
      <c r="AM296" s="251" t="s">
        <v>203</v>
      </c>
      <c r="AN296" s="85"/>
      <c r="AO296" s="85"/>
      <c r="AP296" s="85"/>
      <c r="AQ296" s="44"/>
      <c r="AX296" s="56" t="s">
        <v>210</v>
      </c>
      <c r="BC296" s="483"/>
    </row>
    <row r="297" spans="1:55" x14ac:dyDescent="0.25">
      <c r="A297" s="302"/>
      <c r="E297" s="97" t="s">
        <v>15</v>
      </c>
      <c r="F297" s="85"/>
      <c r="G297" s="85"/>
      <c r="H297" s="44"/>
      <c r="I297" s="85"/>
      <c r="J297" s="85"/>
      <c r="K297" s="65"/>
      <c r="L297" s="85"/>
      <c r="M297" s="85"/>
      <c r="N297" s="85"/>
      <c r="O297" s="44"/>
      <c r="V297" s="56" t="s">
        <v>210</v>
      </c>
      <c r="AA297" s="302"/>
      <c r="AC297" s="483"/>
      <c r="AG297" s="97" t="s">
        <v>15</v>
      </c>
      <c r="AH297" s="85"/>
      <c r="AI297" s="85"/>
      <c r="AJ297" s="44"/>
      <c r="AK297" s="85"/>
      <c r="AL297" s="85"/>
      <c r="AM297" s="65"/>
      <c r="AN297" s="85"/>
      <c r="AO297" s="85"/>
      <c r="AP297" s="85"/>
      <c r="AQ297" s="44"/>
      <c r="AX297" s="56" t="s">
        <v>210</v>
      </c>
      <c r="BC297" s="483"/>
    </row>
    <row r="298" spans="1:55" x14ac:dyDescent="0.25">
      <c r="A298" s="302"/>
      <c r="E298" s="96" t="s">
        <v>186</v>
      </c>
      <c r="F298" s="84" t="s">
        <v>13</v>
      </c>
      <c r="G298" s="182">
        <f>G289*(44/28)*$U$13</f>
        <v>56.435939720601716</v>
      </c>
      <c r="H298" s="44"/>
      <c r="I298" s="85" t="s">
        <v>175</v>
      </c>
      <c r="J298" s="85"/>
      <c r="K298" s="251" t="s">
        <v>203</v>
      </c>
      <c r="L298" s="85"/>
      <c r="M298" s="85"/>
      <c r="N298" s="85"/>
      <c r="O298" s="44"/>
      <c r="AA298" s="302"/>
      <c r="AC298" s="483"/>
      <c r="AG298" s="96" t="s">
        <v>186</v>
      </c>
      <c r="AH298" s="84" t="s">
        <v>13</v>
      </c>
      <c r="AI298" s="182">
        <f>AI289*(44/28)*$U$13</f>
        <v>42.106822130511787</v>
      </c>
      <c r="AJ298" s="44"/>
      <c r="AK298" s="85" t="s">
        <v>175</v>
      </c>
      <c r="AL298" s="85"/>
      <c r="AM298" s="251" t="s">
        <v>203</v>
      </c>
      <c r="AN298" s="85"/>
      <c r="AO298" s="85"/>
      <c r="AP298" s="85"/>
      <c r="AQ298" s="44"/>
      <c r="BC298" s="483"/>
    </row>
    <row r="299" spans="1:55" x14ac:dyDescent="0.25">
      <c r="A299" s="302"/>
      <c r="E299" s="96" t="s">
        <v>187</v>
      </c>
      <c r="F299" s="84" t="s">
        <v>13</v>
      </c>
      <c r="G299" s="182">
        <f>G290*(44/28)*M272*$U$13</f>
        <v>8.3458684449102272</v>
      </c>
      <c r="H299" s="44"/>
      <c r="I299" s="85" t="s">
        <v>176</v>
      </c>
      <c r="J299" s="85"/>
      <c r="K299" s="251" t="s">
        <v>203</v>
      </c>
      <c r="L299" s="195"/>
      <c r="M299" s="195"/>
      <c r="N299" s="195"/>
      <c r="AA299" s="302"/>
      <c r="AC299" s="483"/>
      <c r="AG299" s="96" t="s">
        <v>187</v>
      </c>
      <c r="AH299" s="84" t="s">
        <v>13</v>
      </c>
      <c r="AI299" s="182">
        <f>AI290*(44/28)*AO272*$U$13</f>
        <v>6.450087158215891</v>
      </c>
      <c r="AJ299" s="44"/>
      <c r="AK299" s="85" t="s">
        <v>176</v>
      </c>
      <c r="AL299" s="85"/>
      <c r="AM299" s="251" t="s">
        <v>203</v>
      </c>
      <c r="AN299" s="195"/>
      <c r="AO299" s="195"/>
      <c r="AP299" s="195"/>
      <c r="BC299" s="483"/>
    </row>
    <row r="300" spans="1:55" x14ac:dyDescent="0.25">
      <c r="A300" s="302"/>
      <c r="E300" s="96"/>
      <c r="F300" s="84"/>
      <c r="G300" s="182"/>
      <c r="H300" s="44"/>
      <c r="I300" s="85"/>
      <c r="J300" s="85"/>
      <c r="K300" s="251" t="s">
        <v>203</v>
      </c>
      <c r="L300" s="195"/>
      <c r="M300" s="195"/>
      <c r="N300" s="195"/>
      <c r="AA300" s="302"/>
      <c r="AC300" s="483"/>
      <c r="AG300" s="96"/>
      <c r="AH300" s="84"/>
      <c r="AI300" s="182"/>
      <c r="AJ300" s="44"/>
      <c r="AK300" s="85"/>
      <c r="AL300" s="85"/>
      <c r="AM300" s="251" t="s">
        <v>203</v>
      </c>
      <c r="AN300" s="195"/>
      <c r="AO300" s="195"/>
      <c r="AP300" s="195"/>
      <c r="BC300" s="483"/>
    </row>
    <row r="301" spans="1:55" x14ac:dyDescent="0.25">
      <c r="A301" s="302"/>
      <c r="E301" s="97" t="s">
        <v>92</v>
      </c>
      <c r="F301" s="85"/>
      <c r="G301" s="85"/>
      <c r="H301" s="44"/>
      <c r="I301" s="85"/>
      <c r="J301" s="85"/>
      <c r="K301" s="251" t="s">
        <v>203</v>
      </c>
      <c r="L301" s="195"/>
      <c r="M301" s="195"/>
      <c r="N301" s="195"/>
      <c r="AA301" s="302"/>
      <c r="AC301" s="483"/>
      <c r="AG301" s="97" t="s">
        <v>92</v>
      </c>
      <c r="AH301" s="85"/>
      <c r="AI301" s="85"/>
      <c r="AJ301" s="44"/>
      <c r="AK301" s="85"/>
      <c r="AL301" s="85"/>
      <c r="AM301" s="251" t="s">
        <v>203</v>
      </c>
      <c r="AN301" s="195"/>
      <c r="AO301" s="195"/>
      <c r="AP301" s="195"/>
      <c r="BC301" s="483"/>
    </row>
    <row r="302" spans="1:55" x14ac:dyDescent="0.25">
      <c r="A302" s="302"/>
      <c r="E302" s="97" t="s">
        <v>191</v>
      </c>
      <c r="F302" s="84" t="s">
        <v>13</v>
      </c>
      <c r="G302" s="176">
        <f>G293+G298</f>
        <v>97.468394247866414</v>
      </c>
      <c r="H302" s="44"/>
      <c r="I302" s="85"/>
      <c r="J302" s="85"/>
      <c r="K302" s="251" t="s">
        <v>203</v>
      </c>
      <c r="L302" s="195"/>
      <c r="M302" s="195"/>
      <c r="N302" s="195"/>
      <c r="AA302" s="302"/>
      <c r="AC302" s="483"/>
      <c r="AG302" s="97" t="s">
        <v>191</v>
      </c>
      <c r="AH302" s="84" t="s">
        <v>13</v>
      </c>
      <c r="AI302" s="176">
        <f>AI293+AI298</f>
        <v>73.681403588922734</v>
      </c>
      <c r="AJ302" s="44"/>
      <c r="AK302" s="85"/>
      <c r="AL302" s="85"/>
      <c r="AM302" s="251" t="s">
        <v>203</v>
      </c>
      <c r="AN302" s="195"/>
      <c r="AO302" s="195"/>
      <c r="AP302" s="195"/>
      <c r="BC302" s="483"/>
    </row>
    <row r="303" spans="1:55" x14ac:dyDescent="0.25">
      <c r="A303" s="302"/>
      <c r="E303" s="97" t="s">
        <v>192</v>
      </c>
      <c r="F303" s="84" t="s">
        <v>13</v>
      </c>
      <c r="G303" s="176">
        <f>G294+G295+G299</f>
        <v>8.8321030310583133</v>
      </c>
      <c r="H303" s="44"/>
      <c r="I303" s="85"/>
      <c r="J303" s="85"/>
      <c r="K303" s="251" t="s">
        <v>203</v>
      </c>
      <c r="L303" s="195"/>
      <c r="M303" s="195"/>
      <c r="N303" s="195"/>
      <c r="AA303" s="302"/>
      <c r="AC303" s="483"/>
      <c r="AG303" s="97" t="s">
        <v>192</v>
      </c>
      <c r="AH303" s="84" t="s">
        <v>13</v>
      </c>
      <c r="AI303" s="176">
        <f>AI294+AI295+AI299</f>
        <v>6.8242459484980609</v>
      </c>
      <c r="AJ303" s="44"/>
      <c r="AK303" s="85"/>
      <c r="AL303" s="85"/>
      <c r="AM303" s="251" t="s">
        <v>203</v>
      </c>
      <c r="AN303" s="195"/>
      <c r="AO303" s="195"/>
      <c r="AP303" s="195"/>
      <c r="BC303" s="483"/>
    </row>
    <row r="304" spans="1:55" x14ac:dyDescent="0.25">
      <c r="A304" s="302"/>
      <c r="E304" s="115"/>
      <c r="F304" s="24"/>
      <c r="G304" s="24"/>
      <c r="H304" s="24"/>
      <c r="I304" s="24"/>
      <c r="J304" s="24"/>
      <c r="K304" s="253" t="s">
        <v>203</v>
      </c>
      <c r="L304" s="195"/>
      <c r="M304" s="195"/>
      <c r="N304" s="195"/>
      <c r="AA304" s="302"/>
      <c r="AC304" s="483"/>
      <c r="AG304" s="115"/>
      <c r="AH304" s="24"/>
      <c r="AI304" s="24"/>
      <c r="AJ304" s="24"/>
      <c r="AK304" s="24"/>
      <c r="AL304" s="24"/>
      <c r="AM304" s="253" t="s">
        <v>203</v>
      </c>
      <c r="AN304" s="195"/>
      <c r="AO304" s="195"/>
      <c r="AP304" s="195"/>
      <c r="BC304" s="483"/>
    </row>
    <row r="305" spans="1:55" x14ac:dyDescent="0.25">
      <c r="E305" s="44"/>
      <c r="F305" s="44"/>
      <c r="G305" s="44"/>
      <c r="I305" s="44"/>
      <c r="J305" s="44"/>
      <c r="K305" s="208" t="s">
        <v>203</v>
      </c>
      <c r="L305" s="195"/>
      <c r="M305" s="195"/>
      <c r="N305" s="195"/>
      <c r="P305" s="44"/>
      <c r="Q305" s="44"/>
      <c r="R305" s="44"/>
      <c r="S305" s="44"/>
      <c r="T305" s="44"/>
      <c r="U305" s="44" t="s">
        <v>210</v>
      </c>
      <c r="V305" s="44"/>
      <c r="AG305" s="44"/>
      <c r="AH305" s="44"/>
      <c r="AI305" s="44"/>
      <c r="AK305" s="44"/>
      <c r="AL305" s="44"/>
      <c r="AM305" s="208" t="s">
        <v>203</v>
      </c>
      <c r="AN305" s="195"/>
      <c r="AO305" s="195"/>
      <c r="AP305" s="195"/>
      <c r="AR305" s="44"/>
      <c r="AS305" s="44"/>
      <c r="AT305" s="44"/>
      <c r="AU305" s="44"/>
      <c r="AV305" s="44"/>
      <c r="AW305" s="44" t="s">
        <v>210</v>
      </c>
      <c r="AX305" s="44"/>
    </row>
    <row r="306" spans="1:55" x14ac:dyDescent="0.25">
      <c r="A306" s="302"/>
      <c r="B306" s="562" t="str">
        <f>'CH4_Gylle_Stald&amp;Lager'!V219</f>
        <v>Malkekøer, tung race Stude -tts</v>
      </c>
      <c r="C306" s="195"/>
      <c r="K306" s="207" t="s">
        <v>203</v>
      </c>
      <c r="L306" s="195"/>
      <c r="M306" s="195"/>
      <c r="N306" s="195"/>
      <c r="Q306" s="577" t="str">
        <f>B306</f>
        <v>Malkekøer, tung race Stude -tts</v>
      </c>
      <c r="R306" s="139"/>
      <c r="S306" s="139"/>
      <c r="T306" s="139"/>
      <c r="U306" s="139"/>
      <c r="V306" s="139" t="s">
        <v>210</v>
      </c>
      <c r="W306" s="139"/>
      <c r="X306" s="139"/>
      <c r="Y306" s="139"/>
      <c r="Z306" s="139"/>
      <c r="AA306" s="302"/>
      <c r="AC306" s="483"/>
      <c r="AD306" s="562" t="str">
        <f>'CH4_Gylle_Stald&amp;Lager'!AH219</f>
        <v>Malkekøer, jersey Stude -jts</v>
      </c>
      <c r="AE306" s="195"/>
      <c r="AM306" s="207" t="s">
        <v>203</v>
      </c>
      <c r="AN306" s="195"/>
      <c r="AO306" s="195"/>
      <c r="AP306" s="195"/>
      <c r="AS306" s="678" t="str">
        <f>AD306</f>
        <v>Malkekøer, jersey Stude -jts</v>
      </c>
      <c r="AT306" s="139"/>
      <c r="AU306" s="139"/>
      <c r="AV306" s="139"/>
      <c r="AW306" s="139"/>
      <c r="AX306" s="139" t="s">
        <v>210</v>
      </c>
      <c r="AY306" s="139"/>
      <c r="AZ306" s="139"/>
      <c r="BA306" s="139"/>
      <c r="BB306" s="139"/>
      <c r="BC306" s="483"/>
    </row>
    <row r="307" spans="1:55" x14ac:dyDescent="0.25">
      <c r="A307" s="302"/>
      <c r="B307" s="135" t="s">
        <v>93</v>
      </c>
      <c r="C307" s="567"/>
      <c r="E307" s="104" t="s">
        <v>83</v>
      </c>
      <c r="F307" s="674" t="s">
        <v>9</v>
      </c>
      <c r="G307" s="111"/>
      <c r="H307" s="111"/>
      <c r="I307" s="111"/>
      <c r="J307" s="111"/>
      <c r="K307" s="248" t="s">
        <v>203</v>
      </c>
      <c r="L307" s="178"/>
      <c r="M307" s="178" t="s">
        <v>23</v>
      </c>
      <c r="N307" s="200" t="s">
        <v>27</v>
      </c>
      <c r="Q307" s="103"/>
      <c r="R307" s="191"/>
      <c r="S307" s="191"/>
      <c r="T307" s="191"/>
      <c r="U307" s="297"/>
      <c r="V307" s="298" t="s">
        <v>210</v>
      </c>
      <c r="W307" s="178"/>
      <c r="X307" s="178" t="s">
        <v>23</v>
      </c>
      <c r="Y307" s="200" t="s">
        <v>27</v>
      </c>
      <c r="Z307" s="139"/>
      <c r="AA307" s="302"/>
      <c r="AC307" s="483"/>
      <c r="AD307" s="135" t="s">
        <v>93</v>
      </c>
      <c r="AE307" s="567"/>
      <c r="AG307" s="104" t="s">
        <v>83</v>
      </c>
      <c r="AH307" s="674" t="s">
        <v>9</v>
      </c>
      <c r="AI307" s="111"/>
      <c r="AJ307" s="111"/>
      <c r="AK307" s="111"/>
      <c r="AL307" s="111"/>
      <c r="AM307" s="248" t="s">
        <v>203</v>
      </c>
      <c r="AN307" s="178"/>
      <c r="AO307" s="178" t="s">
        <v>23</v>
      </c>
      <c r="AP307" s="200" t="s">
        <v>27</v>
      </c>
      <c r="AS307" s="103"/>
      <c r="AT307" s="191"/>
      <c r="AU307" s="191"/>
      <c r="AV307" s="191"/>
      <c r="AW307" s="297"/>
      <c r="AX307" s="298" t="s">
        <v>210</v>
      </c>
      <c r="AY307" s="178"/>
      <c r="AZ307" s="178" t="s">
        <v>23</v>
      </c>
      <c r="BA307" s="200" t="s">
        <v>27</v>
      </c>
      <c r="BB307" s="139"/>
      <c r="BC307" s="483"/>
    </row>
    <row r="308" spans="1:55" x14ac:dyDescent="0.25">
      <c r="A308" s="302"/>
      <c r="B308" s="136" t="s">
        <v>81</v>
      </c>
      <c r="C308" s="575">
        <f>'CH4_Gylle_Stald&amp;Lager'!X222</f>
        <v>180</v>
      </c>
      <c r="E308" s="105" t="s">
        <v>231</v>
      </c>
      <c r="F308" s="675" t="s">
        <v>25</v>
      </c>
      <c r="G308" s="123"/>
      <c r="H308" s="123"/>
      <c r="I308" s="123"/>
      <c r="J308" s="123"/>
      <c r="K308" s="249" t="s">
        <v>203</v>
      </c>
      <c r="L308" s="175" t="s">
        <v>236</v>
      </c>
      <c r="M308" s="44"/>
      <c r="N308" s="65"/>
      <c r="Q308" s="255" t="s">
        <v>241</v>
      </c>
      <c r="R308" s="675" t="str">
        <f>F308</f>
        <v>Sengestald med spalter (kanal, bagskyl eller ringkanal)</v>
      </c>
      <c r="S308" s="192"/>
      <c r="T308" s="192"/>
      <c r="U308" s="192"/>
      <c r="V308" s="243"/>
      <c r="W308" s="175" t="s">
        <v>361</v>
      </c>
      <c r="X308" s="85"/>
      <c r="Y308" s="186"/>
      <c r="Z308" s="139"/>
      <c r="AA308" s="302"/>
      <c r="AC308" s="483"/>
      <c r="AD308" s="136" t="s">
        <v>81</v>
      </c>
      <c r="AE308" s="575">
        <f>'CH4_Gylle_Stald&amp;Lager'!AJ222</f>
        <v>180</v>
      </c>
      <c r="AG308" s="105" t="s">
        <v>231</v>
      </c>
      <c r="AH308" s="675" t="s">
        <v>25</v>
      </c>
      <c r="AI308" s="123"/>
      <c r="AJ308" s="123"/>
      <c r="AK308" s="123"/>
      <c r="AL308" s="123"/>
      <c r="AM308" s="249" t="s">
        <v>203</v>
      </c>
      <c r="AN308" s="175" t="s">
        <v>236</v>
      </c>
      <c r="AO308" s="44"/>
      <c r="AP308" s="65"/>
      <c r="AS308" s="255" t="s">
        <v>241</v>
      </c>
      <c r="AT308" s="675" t="str">
        <f>AH308</f>
        <v>Sengestald med spalter (kanal, bagskyl eller ringkanal)</v>
      </c>
      <c r="AU308" s="192"/>
      <c r="AV308" s="192"/>
      <c r="AW308" s="192"/>
      <c r="AX308" s="243"/>
      <c r="AY308" s="175" t="s">
        <v>361</v>
      </c>
      <c r="AZ308" s="85"/>
      <c r="BA308" s="186"/>
      <c r="BB308" s="139"/>
      <c r="BC308" s="483"/>
    </row>
    <row r="309" spans="1:55" x14ac:dyDescent="0.25">
      <c r="A309" s="302"/>
      <c r="B309" s="137" t="s">
        <v>82</v>
      </c>
      <c r="C309" s="576">
        <f>'CH4_Gylle_Stald&amp;Lager'!X223</f>
        <v>24</v>
      </c>
      <c r="E309" s="106"/>
      <c r="F309" s="676" t="s">
        <v>30</v>
      </c>
      <c r="G309" s="112"/>
      <c r="H309" s="112"/>
      <c r="I309" s="112"/>
      <c r="J309" s="112"/>
      <c r="K309" s="250" t="s">
        <v>203</v>
      </c>
      <c r="L309" s="44" t="s">
        <v>170</v>
      </c>
      <c r="M309" s="44">
        <f>INDEX($E$4:$N$19,MATCH(F308,$E$4:$E$19, 0),3)</f>
        <v>0.2</v>
      </c>
      <c r="N309" s="65">
        <f>INDEX($E$4:$N$19,MATCH(F308,$E$4:$E$19, 0),4)</f>
        <v>0</v>
      </c>
      <c r="Q309" s="255" t="s">
        <v>242</v>
      </c>
      <c r="R309" s="675" t="str">
        <f>F309</f>
        <v>Dybstrøelse, lang ædeplads med spalter (kanal, bagskyl eller ringkanal)</v>
      </c>
      <c r="S309" s="192"/>
      <c r="T309" s="192"/>
      <c r="U309" s="192"/>
      <c r="V309" s="243"/>
      <c r="W309" s="44" t="s">
        <v>170</v>
      </c>
      <c r="X309" s="44">
        <f>INDEX($E$22:$N$24,MATCH(R310,$E$22:$E$24, 0),3)</f>
        <v>0.5</v>
      </c>
      <c r="Y309" s="65">
        <f>INDEX($E$22:$N$24,MATCH(R310,$E$22:$E$24, 0),4)</f>
        <v>0</v>
      </c>
      <c r="Z309" s="139"/>
      <c r="AA309" s="302"/>
      <c r="AC309" s="483"/>
      <c r="AD309" s="137" t="s">
        <v>82</v>
      </c>
      <c r="AE309" s="576">
        <f>'CH4_Gylle_Stald&amp;Lager'!AJ223</f>
        <v>24</v>
      </c>
      <c r="AG309" s="106"/>
      <c r="AH309" s="676" t="s">
        <v>30</v>
      </c>
      <c r="AI309" s="112"/>
      <c r="AJ309" s="112"/>
      <c r="AK309" s="112"/>
      <c r="AL309" s="112"/>
      <c r="AM309" s="250" t="s">
        <v>203</v>
      </c>
      <c r="AN309" s="44" t="s">
        <v>170</v>
      </c>
      <c r="AO309" s="44">
        <f>INDEX($E$4:$N$19,MATCH(AH308,$E$4:$E$19, 0),3)</f>
        <v>0.2</v>
      </c>
      <c r="AP309" s="65">
        <f>INDEX($E$4:$N$19,MATCH(AH308,$E$4:$E$19, 0),4)</f>
        <v>0</v>
      </c>
      <c r="AS309" s="255" t="s">
        <v>242</v>
      </c>
      <c r="AT309" s="675" t="str">
        <f>AH309</f>
        <v>Dybstrøelse, lang ædeplads med spalter (kanal, bagskyl eller ringkanal)</v>
      </c>
      <c r="AU309" s="192"/>
      <c r="AV309" s="192"/>
      <c r="AW309" s="192"/>
      <c r="AX309" s="243"/>
      <c r="AY309" s="44" t="s">
        <v>170</v>
      </c>
      <c r="AZ309" s="44">
        <f>INDEX($E$22:$N$24,MATCH(AT310,$E$22:$E$24, 0),3)</f>
        <v>0.5</v>
      </c>
      <c r="BA309" s="65">
        <f>INDEX($E$22:$N$24,MATCH(AT310,$E$22:$E$24, 0),4)</f>
        <v>0</v>
      </c>
      <c r="BB309" s="139"/>
      <c r="BC309" s="483"/>
    </row>
    <row r="310" spans="1:55" x14ac:dyDescent="0.25">
      <c r="A310" s="303"/>
      <c r="B310" s="138"/>
      <c r="C310" s="568"/>
      <c r="E310" s="43"/>
      <c r="F310" s="294" t="s">
        <v>5</v>
      </c>
      <c r="G310" s="295" t="s">
        <v>6</v>
      </c>
      <c r="H310" s="296" t="s">
        <v>356</v>
      </c>
      <c r="I310" s="44"/>
      <c r="J310" s="44"/>
      <c r="K310" s="251" t="s">
        <v>203</v>
      </c>
      <c r="L310" s="44" t="s">
        <v>2</v>
      </c>
      <c r="M310" s="44"/>
      <c r="N310" s="65">
        <f>INDEX($E$4:$N$19,MATCH(F308,$E$4:$E$19, 0),7)</f>
        <v>0</v>
      </c>
      <c r="Q310" s="255" t="s">
        <v>360</v>
      </c>
      <c r="R310" s="675" t="s">
        <v>127</v>
      </c>
      <c r="S310" s="192"/>
      <c r="T310" s="192"/>
      <c r="U310" s="192"/>
      <c r="V310" s="243"/>
      <c r="W310" s="44" t="s">
        <v>1</v>
      </c>
      <c r="X310" s="44">
        <f>INDEX($E$22:$N$24,MATCH(R310,$E$22:$E$24, 0),6)</f>
        <v>3.4</v>
      </c>
      <c r="Y310" s="65"/>
      <c r="Z310" s="139"/>
      <c r="AA310" s="303"/>
      <c r="AC310" s="484"/>
      <c r="AD310" s="138"/>
      <c r="AE310" s="568"/>
      <c r="AG310" s="43"/>
      <c r="AH310" s="294" t="s">
        <v>5</v>
      </c>
      <c r="AI310" s="295" t="s">
        <v>6</v>
      </c>
      <c r="AJ310" s="296" t="s">
        <v>356</v>
      </c>
      <c r="AK310" s="44"/>
      <c r="AL310" s="44"/>
      <c r="AM310" s="251" t="s">
        <v>203</v>
      </c>
      <c r="AN310" s="44" t="s">
        <v>2</v>
      </c>
      <c r="AO310" s="44"/>
      <c r="AP310" s="65">
        <f>INDEX($E$4:$N$19,MATCH(AH308,$E$4:$E$19, 0),7)</f>
        <v>0</v>
      </c>
      <c r="AS310" s="255" t="s">
        <v>360</v>
      </c>
      <c r="AT310" s="675" t="s">
        <v>127</v>
      </c>
      <c r="AU310" s="192"/>
      <c r="AV310" s="192"/>
      <c r="AW310" s="192"/>
      <c r="AX310" s="243"/>
      <c r="AY310" s="44" t="s">
        <v>1</v>
      </c>
      <c r="AZ310" s="44">
        <f>INDEX($E$22:$N$24,MATCH(AT310,$E$22:$E$24, 0),6)</f>
        <v>3.4</v>
      </c>
      <c r="BA310" s="65"/>
      <c r="BB310" s="139"/>
      <c r="BC310" s="484"/>
    </row>
    <row r="311" spans="1:55" x14ac:dyDescent="0.25">
      <c r="A311" s="303"/>
      <c r="B311" s="229" t="s">
        <v>221</v>
      </c>
      <c r="C311" s="569"/>
      <c r="E311" s="66" t="s">
        <v>101</v>
      </c>
      <c r="F311" s="304">
        <f>INDEX(Normtal!$Q$3:$AC$551,MATCH(B306,Normtal!$Q$3:$Q$551,0),3)</f>
        <v>48.487587096774199</v>
      </c>
      <c r="G311" s="281"/>
      <c r="H311" s="285">
        <f>INDEX(Normtal!$Q$3:$AC$551,MATCH(B306,Normtal!$Q$3:$Q$551,0),4)</f>
        <v>32.613674654377881</v>
      </c>
      <c r="I311" s="85"/>
      <c r="J311" s="44"/>
      <c r="K311" s="251" t="s">
        <v>203</v>
      </c>
      <c r="L311" s="44" t="s">
        <v>1</v>
      </c>
      <c r="M311" s="44">
        <f>INDEX($E$4:$N$19,MATCH(F308,$E$4:$E$19, 0),6)</f>
        <v>13.5</v>
      </c>
      <c r="N311" s="65"/>
      <c r="Q311" s="299" t="s">
        <v>359</v>
      </c>
      <c r="R311" s="676" t="s">
        <v>135</v>
      </c>
      <c r="S311" s="194"/>
      <c r="T311" s="194"/>
      <c r="U311" s="194"/>
      <c r="V311" s="241"/>
      <c r="W311" s="44" t="s">
        <v>2</v>
      </c>
      <c r="X311" s="44"/>
      <c r="Y311" s="65">
        <f>INDEX($E$22:$N$24,MATCH(R310,$E$22:$E$24, 0),7)</f>
        <v>2</v>
      </c>
      <c r="Z311" s="139"/>
      <c r="AA311" s="303"/>
      <c r="AC311" s="484"/>
      <c r="AD311" s="229" t="s">
        <v>221</v>
      </c>
      <c r="AE311" s="569"/>
      <c r="AG311" s="66" t="s">
        <v>101</v>
      </c>
      <c r="AH311" s="304">
        <f>INDEX(Normtal!$Q$3:$AC$551,MATCH(AD306,Normtal!$Q$3:$Q$551,0),3)</f>
        <v>36.035086769230766</v>
      </c>
      <c r="AI311" s="281"/>
      <c r="AJ311" s="285">
        <f>INDEX(Normtal!$Q$3:$AC$551,MATCH(AD306,Normtal!$Q$3:$Q$551,0),4)</f>
        <v>24.150163692307689</v>
      </c>
      <c r="AK311" s="85"/>
      <c r="AL311" s="44"/>
      <c r="AM311" s="251" t="s">
        <v>203</v>
      </c>
      <c r="AN311" s="44" t="s">
        <v>1</v>
      </c>
      <c r="AO311" s="44">
        <f>INDEX($E$4:$N$19,MATCH(AH308,$E$4:$E$19, 0),6)</f>
        <v>13.5</v>
      </c>
      <c r="AP311" s="65"/>
      <c r="AS311" s="299" t="s">
        <v>359</v>
      </c>
      <c r="AT311" s="676" t="s">
        <v>135</v>
      </c>
      <c r="AU311" s="194"/>
      <c r="AV311" s="194"/>
      <c r="AW311" s="194"/>
      <c r="AX311" s="241"/>
      <c r="AY311" s="44" t="s">
        <v>2</v>
      </c>
      <c r="AZ311" s="44"/>
      <c r="BA311" s="65">
        <f>INDEX($E$22:$N$24,MATCH(AT310,$E$22:$E$24, 0),7)</f>
        <v>2</v>
      </c>
      <c r="BB311" s="139"/>
      <c r="BC311" s="484"/>
    </row>
    <row r="312" spans="1:55" x14ac:dyDescent="0.25">
      <c r="A312" s="303"/>
      <c r="B312" s="231" t="s">
        <v>224</v>
      </c>
      <c r="C312" s="574">
        <f>'CH4_Gylle_Stald&amp;Lager'!X226</f>
        <v>0.37</v>
      </c>
      <c r="E312" s="66" t="s">
        <v>103</v>
      </c>
      <c r="F312" s="305">
        <f>F311*(C308/365)*(C309/24)</f>
        <v>23.911686787450289</v>
      </c>
      <c r="G312" s="281"/>
      <c r="H312" s="285">
        <f>H311*(C308/365)*(C309/24)</f>
        <v>16.083455993939776</v>
      </c>
      <c r="I312" s="44" t="s">
        <v>357</v>
      </c>
      <c r="J312" s="44"/>
      <c r="K312" s="251" t="s">
        <v>203</v>
      </c>
      <c r="L312" s="175" t="s">
        <v>237</v>
      </c>
      <c r="M312" s="44"/>
      <c r="N312" s="65"/>
      <c r="Q312" s="118"/>
      <c r="R312" s="119"/>
      <c r="S312" s="119"/>
      <c r="T312" s="119"/>
      <c r="U312" s="119"/>
      <c r="V312" s="124"/>
      <c r="W312" s="56" t="s">
        <v>177</v>
      </c>
      <c r="X312" s="310">
        <f>$J$26</f>
        <v>0.5</v>
      </c>
      <c r="Z312" s="139"/>
      <c r="AA312" s="303"/>
      <c r="AC312" s="484"/>
      <c r="AD312" s="231" t="s">
        <v>224</v>
      </c>
      <c r="AE312" s="574">
        <f>'CH4_Gylle_Stald&amp;Lager'!AJ226</f>
        <v>0.4</v>
      </c>
      <c r="AG312" s="66" t="s">
        <v>103</v>
      </c>
      <c r="AH312" s="305">
        <f>AH311*(AE308/365)*(AE309/24)</f>
        <v>17.770727721812431</v>
      </c>
      <c r="AI312" s="281"/>
      <c r="AJ312" s="285">
        <f>AJ311*(AE308/365)*(AE309/24)</f>
        <v>11.909669766069545</v>
      </c>
      <c r="AK312" s="44" t="s">
        <v>357</v>
      </c>
      <c r="AL312" s="44"/>
      <c r="AM312" s="251" t="s">
        <v>203</v>
      </c>
      <c r="AN312" s="175" t="s">
        <v>237</v>
      </c>
      <c r="AO312" s="44"/>
      <c r="AP312" s="65"/>
      <c r="AS312" s="118"/>
      <c r="AT312" s="119"/>
      <c r="AU312" s="119"/>
      <c r="AV312" s="119"/>
      <c r="AW312" s="119"/>
      <c r="AX312" s="124"/>
      <c r="AY312" s="56" t="s">
        <v>177</v>
      </c>
      <c r="AZ312" s="310">
        <f>$J$26</f>
        <v>0.5</v>
      </c>
      <c r="BB312" s="139"/>
      <c r="BC312" s="484"/>
    </row>
    <row r="313" spans="1:55" x14ac:dyDescent="0.25">
      <c r="A313" s="303"/>
      <c r="B313" s="233" t="s">
        <v>223</v>
      </c>
      <c r="C313" s="570">
        <f>(365-C308*C309/24)*C312</f>
        <v>68.45</v>
      </c>
      <c r="D313" s="254"/>
      <c r="E313" s="66" t="s">
        <v>104</v>
      </c>
      <c r="F313" s="306">
        <f>F311-F312</f>
        <v>24.575900309323909</v>
      </c>
      <c r="G313" s="289"/>
      <c r="H313" s="287">
        <f>H311-H312</f>
        <v>16.530218660438106</v>
      </c>
      <c r="I313" s="44" t="s">
        <v>358</v>
      </c>
      <c r="J313" s="44"/>
      <c r="K313" s="251" t="s">
        <v>203</v>
      </c>
      <c r="L313" s="99" t="s">
        <v>170</v>
      </c>
      <c r="M313" s="85">
        <f>INDEX($E$4:$N$19,MATCH(F309,$E$4:$E$19, 0),3)</f>
        <v>0.2</v>
      </c>
      <c r="N313" s="186">
        <f>INDEX($E$4:$N$19,MATCH(F309,$E$4:$E$19, 0),4)</f>
        <v>1</v>
      </c>
      <c r="Q313" s="96" t="s">
        <v>139</v>
      </c>
      <c r="R313" s="85"/>
      <c r="S313" s="85"/>
      <c r="T313" s="85"/>
      <c r="U313" s="85"/>
      <c r="V313" s="186" t="s">
        <v>210</v>
      </c>
      <c r="W313" s="175" t="s">
        <v>364</v>
      </c>
      <c r="X313" s="44"/>
      <c r="Y313" s="65"/>
      <c r="Z313" s="139"/>
      <c r="AA313" s="303"/>
      <c r="AC313" s="484"/>
      <c r="AD313" s="233" t="s">
        <v>223</v>
      </c>
      <c r="AE313" s="570">
        <f>(365-AE308*AE309/24)*AE312</f>
        <v>74</v>
      </c>
      <c r="AF313" s="254"/>
      <c r="AG313" s="66" t="s">
        <v>104</v>
      </c>
      <c r="AH313" s="306">
        <f>AH311-AH312</f>
        <v>18.264359047418335</v>
      </c>
      <c r="AI313" s="289"/>
      <c r="AJ313" s="287">
        <f>AJ311-AJ312</f>
        <v>12.240493926238145</v>
      </c>
      <c r="AK313" s="44" t="s">
        <v>358</v>
      </c>
      <c r="AL313" s="44"/>
      <c r="AM313" s="251" t="s">
        <v>203</v>
      </c>
      <c r="AN313" s="99" t="s">
        <v>170</v>
      </c>
      <c r="AO313" s="85">
        <f>INDEX($E$4:$N$19,MATCH(AH309,$E$4:$E$19, 0),3)</f>
        <v>0.2</v>
      </c>
      <c r="AP313" s="186">
        <f>INDEX($E$4:$N$19,MATCH(AH309,$E$4:$E$19, 0),4)</f>
        <v>1</v>
      </c>
      <c r="AS313" s="96" t="s">
        <v>139</v>
      </c>
      <c r="AT313" s="85"/>
      <c r="AU313" s="85"/>
      <c r="AV313" s="85"/>
      <c r="AW313" s="85"/>
      <c r="AX313" s="186" t="s">
        <v>210</v>
      </c>
      <c r="AY313" s="175" t="s">
        <v>364</v>
      </c>
      <c r="AZ313" s="44"/>
      <c r="BA313" s="65"/>
      <c r="BB313" s="139"/>
      <c r="BC313" s="484"/>
    </row>
    <row r="314" spans="1:55" x14ac:dyDescent="0.25">
      <c r="A314" s="303"/>
      <c r="B314" s="231" t="s">
        <v>222</v>
      </c>
      <c r="C314" s="573"/>
      <c r="E314" s="66"/>
      <c r="F314" s="677" t="s">
        <v>281</v>
      </c>
      <c r="G314" s="221" t="s">
        <v>210</v>
      </c>
      <c r="H314" s="291"/>
      <c r="I314" s="44"/>
      <c r="J314" s="44"/>
      <c r="K314" s="65"/>
      <c r="L314" s="85" t="s">
        <v>2</v>
      </c>
      <c r="M314" s="85"/>
      <c r="N314" s="186">
        <f>INDEX($E$4:$N$19,MATCH(F309,$E$4:$E$19, 0),7)</f>
        <v>6</v>
      </c>
      <c r="Q314" s="66"/>
      <c r="R314" s="44"/>
      <c r="S314" s="44"/>
      <c r="T314" s="85"/>
      <c r="U314" s="85"/>
      <c r="V314" s="186" t="s">
        <v>210</v>
      </c>
      <c r="W314" s="99" t="s">
        <v>170</v>
      </c>
      <c r="X314" s="85">
        <f>INDEX($E$22:$N$24,MATCH(R311,$E$22:$E$24, 0),3)</f>
        <v>0</v>
      </c>
      <c r="Y314" s="186">
        <f>INDEX($E$22:$N$24,MATCH(R311,$E$22:$E$24, 0),4)</f>
        <v>1</v>
      </c>
      <c r="Z314" s="139"/>
      <c r="AA314" s="303"/>
      <c r="AC314" s="484"/>
      <c r="AD314" s="231" t="s">
        <v>222</v>
      </c>
      <c r="AE314" s="573"/>
      <c r="AG314" s="66"/>
      <c r="AH314" s="677" t="s">
        <v>605</v>
      </c>
      <c r="AI314" s="221" t="s">
        <v>210</v>
      </c>
      <c r="AJ314" s="291"/>
      <c r="AK314" s="44"/>
      <c r="AL314" s="44"/>
      <c r="AM314" s="65"/>
      <c r="AN314" s="85" t="s">
        <v>2</v>
      </c>
      <c r="AO314" s="85"/>
      <c r="AP314" s="186">
        <f>INDEX($E$4:$N$19,MATCH(AH309,$E$4:$E$19, 0),7)</f>
        <v>6</v>
      </c>
      <c r="AS314" s="66"/>
      <c r="AT314" s="44"/>
      <c r="AU314" s="44"/>
      <c r="AV314" s="85"/>
      <c r="AW314" s="85"/>
      <c r="AX314" s="186" t="s">
        <v>210</v>
      </c>
      <c r="AY314" s="99" t="s">
        <v>170</v>
      </c>
      <c r="AZ314" s="85">
        <f>INDEX($E$22:$N$24,MATCH(AT311,$E$22:$E$24, 0),3)</f>
        <v>0</v>
      </c>
      <c r="BA314" s="186">
        <f>INDEX($E$22:$N$24,MATCH(AT311,$E$22:$E$24, 0),4)</f>
        <v>1</v>
      </c>
      <c r="BB314" s="139"/>
      <c r="BC314" s="484"/>
    </row>
    <row r="315" spans="1:55" x14ac:dyDescent="0.25">
      <c r="A315" s="303"/>
      <c r="B315" s="231" t="s">
        <v>224</v>
      </c>
      <c r="C315" s="571">
        <f>1-C312</f>
        <v>0.63</v>
      </c>
      <c r="E315" s="66" t="s">
        <v>232</v>
      </c>
      <c r="F315" s="305">
        <f>F313*C312*1</f>
        <v>9.093083114449847</v>
      </c>
      <c r="G315" s="281"/>
      <c r="H315" s="286"/>
      <c r="I315" s="246" t="str">
        <f>INDEX($E$4:$N$19,MATCH(F308,$E$4:$E$19, 0),2)</f>
        <v>100% gyllesystem</v>
      </c>
      <c r="J315" s="246"/>
      <c r="K315" s="251" t="s">
        <v>203</v>
      </c>
      <c r="L315" s="99" t="s">
        <v>1</v>
      </c>
      <c r="M315" s="85">
        <f>INDEX($E$4:$N$19,MATCH(F309,$E$4:$E$19, 0),6)</f>
        <v>13.5</v>
      </c>
      <c r="N315" s="65"/>
      <c r="Q315" s="211" t="s">
        <v>371</v>
      </c>
      <c r="R315" s="85" t="s">
        <v>10</v>
      </c>
      <c r="S315" s="176">
        <f>_xlfn.AGGREGATE(9,6, F315:G315)</f>
        <v>9.093083114449847</v>
      </c>
      <c r="T315" s="85"/>
      <c r="U315" s="44"/>
      <c r="V315" s="65"/>
      <c r="W315" s="99" t="s">
        <v>1</v>
      </c>
      <c r="X315" s="85">
        <f>INDEX($E$22:$N$24,MATCH(R311,$E$22:$E$24, 0),6)</f>
        <v>0</v>
      </c>
      <c r="Y315" s="186"/>
      <c r="Z315" s="139"/>
      <c r="AA315" s="303"/>
      <c r="AC315" s="484"/>
      <c r="AD315" s="231" t="s">
        <v>224</v>
      </c>
      <c r="AE315" s="571">
        <f>1-AE312</f>
        <v>0.6</v>
      </c>
      <c r="AG315" s="66" t="s">
        <v>232</v>
      </c>
      <c r="AH315" s="305">
        <f>AH313*AE312*1</f>
        <v>7.3057436189673339</v>
      </c>
      <c r="AI315" s="281"/>
      <c r="AJ315" s="286"/>
      <c r="AK315" s="246" t="str">
        <f>INDEX($E$4:$N$19,MATCH(AH308,$E$4:$E$19, 0),2)</f>
        <v>100% gyllesystem</v>
      </c>
      <c r="AL315" s="246"/>
      <c r="AM315" s="251" t="s">
        <v>203</v>
      </c>
      <c r="AN315" s="99" t="s">
        <v>1</v>
      </c>
      <c r="AO315" s="85">
        <f>INDEX($E$4:$N$19,MATCH(AH309,$E$4:$E$19, 0),6)</f>
        <v>13.5</v>
      </c>
      <c r="AP315" s="65"/>
      <c r="AS315" s="211" t="s">
        <v>371</v>
      </c>
      <c r="AT315" s="85" t="s">
        <v>10</v>
      </c>
      <c r="AU315" s="176">
        <f>_xlfn.AGGREGATE(9,6, AH315:AI315)</f>
        <v>7.3057436189673339</v>
      </c>
      <c r="AV315" s="85"/>
      <c r="AW315" s="44"/>
      <c r="AX315" s="65"/>
      <c r="AY315" s="99" t="s">
        <v>1</v>
      </c>
      <c r="AZ315" s="85">
        <f>INDEX($E$22:$N$24,MATCH(AT311,$E$22:$E$24, 0),6)</f>
        <v>0</v>
      </c>
      <c r="BA315" s="186"/>
      <c r="BB315" s="139"/>
      <c r="BC315" s="484"/>
    </row>
    <row r="316" spans="1:55" x14ac:dyDescent="0.25">
      <c r="A316" s="302"/>
      <c r="B316" s="233" t="s">
        <v>81</v>
      </c>
      <c r="C316" s="570">
        <f>(365-C308*C309/24)*C315</f>
        <v>116.55</v>
      </c>
      <c r="E316" s="66" t="s">
        <v>102</v>
      </c>
      <c r="F316" s="305">
        <f>INDEX(Normtal!$Q$3:$AC$551,MATCH(F314,Normtal!$AA$3:$AA$551, 0),6)*C313/365</f>
        <v>8.7273750000000011E-2</v>
      </c>
      <c r="G316" s="283"/>
      <c r="H316" s="286"/>
      <c r="I316" s="44"/>
      <c r="J316" s="44"/>
      <c r="K316" s="65"/>
      <c r="L316" s="175" t="s">
        <v>363</v>
      </c>
      <c r="M316" s="44"/>
      <c r="N316" s="65"/>
      <c r="Q316" s="211" t="s">
        <v>243</v>
      </c>
      <c r="R316" s="85" t="s">
        <v>10</v>
      </c>
      <c r="S316" s="176">
        <f>_xlfn.AGGREGATE(9,6, F316:G316)</f>
        <v>8.7273750000000011E-2</v>
      </c>
      <c r="T316" s="85"/>
      <c r="U316" s="85"/>
      <c r="V316" s="186" t="s">
        <v>210</v>
      </c>
      <c r="W316" s="85" t="s">
        <v>2</v>
      </c>
      <c r="X316" s="85"/>
      <c r="Y316" s="186">
        <f>INDEX($E$22:$N$24,MATCH(R311,$E$22:$E$24, 0),7)</f>
        <v>3</v>
      </c>
      <c r="Z316" s="139"/>
      <c r="AA316" s="302"/>
      <c r="AC316" s="483"/>
      <c r="AD316" s="233" t="s">
        <v>81</v>
      </c>
      <c r="AE316" s="570">
        <f>(365-AE308*AE309/24)*AE315</f>
        <v>111</v>
      </c>
      <c r="AG316" s="66" t="s">
        <v>102</v>
      </c>
      <c r="AH316" s="305">
        <f>INDEX(Normtal!$Q$3:$AC$551,MATCH(AH314,Normtal!$AA$3:$AA$551, 0),6)*AE313/365</f>
        <v>6.2899999999999998E-2</v>
      </c>
      <c r="AI316" s="283"/>
      <c r="AJ316" s="286"/>
      <c r="AK316" s="44"/>
      <c r="AL316" s="44"/>
      <c r="AM316" s="65"/>
      <c r="AN316" s="175" t="s">
        <v>363</v>
      </c>
      <c r="AO316" s="44"/>
      <c r="AP316" s="65"/>
      <c r="AS316" s="211" t="s">
        <v>243</v>
      </c>
      <c r="AT316" s="85" t="s">
        <v>10</v>
      </c>
      <c r="AU316" s="176">
        <f>_xlfn.AGGREGATE(9,6, AH316:AI316)</f>
        <v>6.2899999999999998E-2</v>
      </c>
      <c r="AV316" s="85"/>
      <c r="AW316" s="85"/>
      <c r="AX316" s="186" t="s">
        <v>210</v>
      </c>
      <c r="AY316" s="85" t="s">
        <v>2</v>
      </c>
      <c r="AZ316" s="85"/>
      <c r="BA316" s="186">
        <f>INDEX($E$22:$N$24,MATCH(AT311,$E$22:$E$24, 0),7)</f>
        <v>3</v>
      </c>
      <c r="BB316" s="139"/>
      <c r="BC316" s="483"/>
    </row>
    <row r="317" spans="1:55" x14ac:dyDescent="0.25">
      <c r="A317" s="302"/>
      <c r="C317" s="195"/>
      <c r="E317" s="66" t="s">
        <v>235</v>
      </c>
      <c r="F317" s="307">
        <f>INDEX(Normtal!$Q$3:$AC$551,MATCH(F314,Normtal!$AA$3:$AA$551, 0),4)*C313/365</f>
        <v>6.1161809043620989</v>
      </c>
      <c r="G317" s="247"/>
      <c r="H317" s="285">
        <f>H313*C312</f>
        <v>6.1161809043620989</v>
      </c>
      <c r="I317" s="44"/>
      <c r="J317" s="44"/>
      <c r="K317" s="251"/>
      <c r="L317" s="44" t="s">
        <v>362</v>
      </c>
      <c r="M317" s="44">
        <f>$J$26</f>
        <v>0.5</v>
      </c>
      <c r="N317" s="65"/>
      <c r="Q317" s="211" t="s">
        <v>365</v>
      </c>
      <c r="R317" s="85" t="s">
        <v>10</v>
      </c>
      <c r="S317" s="176">
        <f>-_xlfn.AGGREGATE(9,6,G333:G334)</f>
        <v>-1.8360713728899695E-2</v>
      </c>
      <c r="T317" s="85"/>
      <c r="U317" s="85"/>
      <c r="V317" s="186" t="s">
        <v>210</v>
      </c>
      <c r="W317" s="86" t="s">
        <v>363</v>
      </c>
      <c r="X317" s="85"/>
      <c r="Y317" s="186"/>
      <c r="Z317" s="139"/>
      <c r="AA317" s="302"/>
      <c r="AC317" s="483"/>
      <c r="AE317" s="195"/>
      <c r="AG317" s="66" t="s">
        <v>235</v>
      </c>
      <c r="AH317" s="307">
        <f>INDEX(Normtal!$Q$3:$AC$551,MATCH(AH314,Normtal!$AA$3:$AA$551, 0),4)*AE313/365</f>
        <v>4.8961975704952572</v>
      </c>
      <c r="AI317" s="247"/>
      <c r="AJ317" s="285">
        <f>AJ313*AE312</f>
        <v>4.8961975704952581</v>
      </c>
      <c r="AK317" s="44"/>
      <c r="AL317" s="44"/>
      <c r="AM317" s="251"/>
      <c r="AN317" s="44" t="s">
        <v>362</v>
      </c>
      <c r="AO317" s="44">
        <f>$J$26</f>
        <v>0.5</v>
      </c>
      <c r="AP317" s="65"/>
      <c r="AS317" s="211" t="s">
        <v>365</v>
      </c>
      <c r="AT317" s="85" t="s">
        <v>10</v>
      </c>
      <c r="AU317" s="176">
        <f>-_xlfn.AGGREGATE(9,6,AI333:AI334)</f>
        <v>-1.4737287237934668E-2</v>
      </c>
      <c r="AV317" s="85"/>
      <c r="AW317" s="85"/>
      <c r="AX317" s="186" t="s">
        <v>210</v>
      </c>
      <c r="AY317" s="86" t="s">
        <v>363</v>
      </c>
      <c r="AZ317" s="85"/>
      <c r="BA317" s="186"/>
      <c r="BB317" s="139"/>
      <c r="BC317" s="483"/>
    </row>
    <row r="318" spans="1:55" ht="30" x14ac:dyDescent="0.25">
      <c r="A318" s="302"/>
      <c r="B318" s="257" t="s">
        <v>245</v>
      </c>
      <c r="C318" s="572">
        <f>'CH4_Gylle_Stald&amp;Lager'!X232</f>
        <v>0</v>
      </c>
      <c r="E318" s="66"/>
      <c r="F318" s="290"/>
      <c r="G318" s="290"/>
      <c r="H318" s="292"/>
      <c r="I318" s="44"/>
      <c r="J318" s="44"/>
      <c r="K318" s="251" t="s">
        <v>203</v>
      </c>
      <c r="L318" s="44" t="s">
        <v>171</v>
      </c>
      <c r="M318" s="44">
        <f>$J$27</f>
        <v>-0.5</v>
      </c>
      <c r="N318" s="65"/>
      <c r="Q318" s="211" t="s">
        <v>367</v>
      </c>
      <c r="R318" s="85" t="s">
        <v>10</v>
      </c>
      <c r="S318" s="176">
        <f>-_xlfn.AGGREGATE(9,6,G335,G336)</f>
        <v>-0.82568442208888337</v>
      </c>
      <c r="T318" s="85"/>
      <c r="U318" s="85"/>
      <c r="V318" s="186"/>
      <c r="W318" s="99" t="s">
        <v>171</v>
      </c>
      <c r="X318" s="85">
        <f>$J$27</f>
        <v>-0.5</v>
      </c>
      <c r="Y318" s="186"/>
      <c r="Z318" s="139"/>
      <c r="AA318" s="302"/>
      <c r="AC318" s="483"/>
      <c r="AD318" s="257" t="s">
        <v>245</v>
      </c>
      <c r="AE318" s="572">
        <f>'CH4_Gylle_Stald&amp;Lager'!AJ232</f>
        <v>0</v>
      </c>
      <c r="AG318" s="66"/>
      <c r="AH318" s="290"/>
      <c r="AI318" s="290"/>
      <c r="AJ318" s="292"/>
      <c r="AK318" s="44"/>
      <c r="AL318" s="44"/>
      <c r="AM318" s="251" t="s">
        <v>203</v>
      </c>
      <c r="AN318" s="44" t="s">
        <v>171</v>
      </c>
      <c r="AO318" s="44">
        <f>$J$27</f>
        <v>-0.5</v>
      </c>
      <c r="AP318" s="65"/>
      <c r="AS318" s="211" t="s">
        <v>367</v>
      </c>
      <c r="AT318" s="85" t="s">
        <v>10</v>
      </c>
      <c r="AU318" s="176">
        <f>-_xlfn.AGGREGATE(9,6,AI335,AI336)</f>
        <v>-0.66098667201685968</v>
      </c>
      <c r="AV318" s="85"/>
      <c r="AW318" s="85"/>
      <c r="AX318" s="186"/>
      <c r="AY318" s="99" t="s">
        <v>171</v>
      </c>
      <c r="AZ318" s="85">
        <f>$J$27</f>
        <v>-0.5</v>
      </c>
      <c r="BA318" s="186"/>
      <c r="BB318" s="139"/>
      <c r="BC318" s="483"/>
    </row>
    <row r="319" spans="1:55" x14ac:dyDescent="0.25">
      <c r="A319" s="302"/>
      <c r="E319" s="66"/>
      <c r="F319" s="677" t="s">
        <v>282</v>
      </c>
      <c r="G319" s="677" t="s">
        <v>283</v>
      </c>
      <c r="H319" s="284"/>
      <c r="I319" s="44" t="s">
        <v>203</v>
      </c>
      <c r="J319" s="44"/>
      <c r="K319" s="65"/>
      <c r="L319" s="293" t="s">
        <v>238</v>
      </c>
      <c r="M319" s="44"/>
      <c r="N319" s="65"/>
      <c r="Q319" s="455"/>
      <c r="R319" s="84"/>
      <c r="S319" s="94"/>
      <c r="T319" s="85"/>
      <c r="U319" s="85"/>
      <c r="V319" s="186" t="s">
        <v>210</v>
      </c>
      <c r="W319" s="85" t="s">
        <v>177</v>
      </c>
      <c r="X319" s="85">
        <f>$J$26</f>
        <v>0.5</v>
      </c>
      <c r="Y319" s="186"/>
      <c r="Z319" s="139"/>
      <c r="AA319" s="302"/>
      <c r="AC319" s="483"/>
      <c r="AG319" s="66"/>
      <c r="AH319" s="677" t="s">
        <v>606</v>
      </c>
      <c r="AI319" s="677" t="s">
        <v>607</v>
      </c>
      <c r="AJ319" s="284"/>
      <c r="AK319" s="44" t="s">
        <v>203</v>
      </c>
      <c r="AL319" s="44"/>
      <c r="AM319" s="65"/>
      <c r="AN319" s="293" t="s">
        <v>238</v>
      </c>
      <c r="AO319" s="44"/>
      <c r="AP319" s="65"/>
      <c r="AS319" s="455"/>
      <c r="AT319" s="84"/>
      <c r="AU319" s="94"/>
      <c r="AV319" s="85"/>
      <c r="AW319" s="85"/>
      <c r="AX319" s="186" t="s">
        <v>210</v>
      </c>
      <c r="AY319" s="85" t="s">
        <v>177</v>
      </c>
      <c r="AZ319" s="85">
        <f>$J$26</f>
        <v>0.5</v>
      </c>
      <c r="BA319" s="186"/>
      <c r="BB319" s="139"/>
      <c r="BC319" s="483"/>
    </row>
    <row r="320" spans="1:55" x14ac:dyDescent="0.25">
      <c r="A320" s="302"/>
      <c r="B320" s="77" t="s">
        <v>226</v>
      </c>
      <c r="C320" s="236">
        <f>C308*C309/24+C313+C316</f>
        <v>365</v>
      </c>
      <c r="E320" s="66" t="s">
        <v>233</v>
      </c>
      <c r="F320" s="305">
        <f>F313*C315*0.4</f>
        <v>6.1931268779496254</v>
      </c>
      <c r="G320" s="247">
        <f>F313*C315*0.6</f>
        <v>9.2896903169244371</v>
      </c>
      <c r="H320" s="286"/>
      <c r="I320" s="246" t="str">
        <f>INDEX($E$4:$N$19,MATCH(F309,$E$4:$E$19, 0),2)</f>
        <v>60 % dybstrøelsessystem - 40 % gyllesystem</v>
      </c>
      <c r="J320" s="246"/>
      <c r="K320" s="65"/>
      <c r="L320" s="85" t="s">
        <v>172</v>
      </c>
      <c r="M320" s="85">
        <f>INDEX($E$4:$N$19,MATCH(F307,$E$4:$E$19, 0),3)</f>
        <v>0.4</v>
      </c>
      <c r="N320" s="186"/>
      <c r="Q320" s="211" t="s">
        <v>372</v>
      </c>
      <c r="R320" s="44"/>
      <c r="S320" s="113">
        <f>_xlfn.AGGREGATE(9,6,F320:G320)</f>
        <v>15.482817194874062</v>
      </c>
      <c r="T320" s="44"/>
      <c r="U320" s="44"/>
      <c r="V320" s="65"/>
      <c r="W320" s="44"/>
      <c r="X320" s="44"/>
      <c r="Y320" s="65"/>
      <c r="Z320" s="139"/>
      <c r="AA320" s="302"/>
      <c r="AC320" s="483"/>
      <c r="AD320" s="77" t="s">
        <v>226</v>
      </c>
      <c r="AE320" s="236">
        <f>AE308*AE309/24+AE313+AE316</f>
        <v>365</v>
      </c>
      <c r="AG320" s="66" t="s">
        <v>233</v>
      </c>
      <c r="AH320" s="305">
        <f>AH313*AE315*0.4</f>
        <v>4.3834461713804007</v>
      </c>
      <c r="AI320" s="247">
        <f>AH313*AE315*0.6</f>
        <v>6.5751692570706002</v>
      </c>
      <c r="AJ320" s="286"/>
      <c r="AK320" s="246" t="str">
        <f>INDEX($E$4:$N$19,MATCH(AH309,$E$4:$E$19, 0),2)</f>
        <v>60 % dybstrøelsessystem - 40 % gyllesystem</v>
      </c>
      <c r="AL320" s="246"/>
      <c r="AM320" s="65"/>
      <c r="AN320" s="85" t="s">
        <v>172</v>
      </c>
      <c r="AO320" s="85">
        <f>INDEX($E$4:$N$19,MATCH(AH307,$E$4:$E$19, 0),3)</f>
        <v>0.4</v>
      </c>
      <c r="AP320" s="186"/>
      <c r="AS320" s="211" t="s">
        <v>372</v>
      </c>
      <c r="AT320" s="44"/>
      <c r="AU320" s="113">
        <f>_xlfn.AGGREGATE(9,6,AH320:AI320)</f>
        <v>10.958615428451001</v>
      </c>
      <c r="AV320" s="44"/>
      <c r="AW320" s="44"/>
      <c r="AX320" s="65"/>
      <c r="AY320" s="44"/>
      <c r="AZ320" s="44"/>
      <c r="BA320" s="65"/>
      <c r="BB320" s="139"/>
      <c r="BC320" s="483"/>
    </row>
    <row r="321" spans="1:55" x14ac:dyDescent="0.25">
      <c r="A321" s="302"/>
      <c r="B321" s="720"/>
      <c r="C321" s="245"/>
      <c r="E321" s="117" t="s">
        <v>102</v>
      </c>
      <c r="F321" s="305">
        <f>INDEX(Normtal!$Q$3:$AC$551,MATCH(F319,Normtal!$AA$3:$AA$551, 0),6)*C316/365</f>
        <v>0</v>
      </c>
      <c r="G321" s="305">
        <f>INDEX(Normtal!$Q$3:$AC$551,MATCH(G319,Normtal!$AA$3:$AA$551, 0),6)*C316/365</f>
        <v>2.4766875000000002</v>
      </c>
      <c r="H321" s="286"/>
      <c r="I321" s="44"/>
      <c r="J321" s="44"/>
      <c r="K321" s="251" t="s">
        <v>203</v>
      </c>
      <c r="L321" s="85"/>
      <c r="M321" s="85"/>
      <c r="N321" s="186"/>
      <c r="Q321" s="211" t="s">
        <v>244</v>
      </c>
      <c r="R321" s="85" t="s">
        <v>10</v>
      </c>
      <c r="S321" s="113">
        <f>_xlfn.AGGREGATE(9,6,F321:G321)</f>
        <v>2.4766875000000002</v>
      </c>
      <c r="T321" s="44"/>
      <c r="U321" s="44"/>
      <c r="V321" s="65"/>
      <c r="W321" s="85" t="s">
        <v>159</v>
      </c>
      <c r="X321" s="85">
        <f>$U$20</f>
        <v>0.01</v>
      </c>
      <c r="Y321" s="186"/>
      <c r="Z321" s="139"/>
      <c r="AA321" s="302"/>
      <c r="AC321" s="483"/>
      <c r="AD321" s="720"/>
      <c r="AE321" s="245"/>
      <c r="AG321" s="117" t="s">
        <v>102</v>
      </c>
      <c r="AH321" s="305">
        <f>INDEX(Normtal!$Q$3:$AC$551,MATCH(AH319,Normtal!$AA$3:$AA$551, 0),6)*AE316/365</f>
        <v>0</v>
      </c>
      <c r="AI321" s="305">
        <f>INDEX(Normtal!$Q$3:$AC$551,MATCH(AI319,Normtal!$AA$3:$AA$551, 0),6)*AE316/365</f>
        <v>1.887</v>
      </c>
      <c r="AJ321" s="286"/>
      <c r="AK321" s="44"/>
      <c r="AL321" s="44"/>
      <c r="AM321" s="251" t="s">
        <v>203</v>
      </c>
      <c r="AN321" s="85"/>
      <c r="AO321" s="85"/>
      <c r="AP321" s="186"/>
      <c r="AS321" s="211" t="s">
        <v>244</v>
      </c>
      <c r="AT321" s="85" t="s">
        <v>10</v>
      </c>
      <c r="AU321" s="113">
        <f>_xlfn.AGGREGATE(9,6,AH321:AI321)</f>
        <v>1.887</v>
      </c>
      <c r="AV321" s="44"/>
      <c r="AW321" s="44"/>
      <c r="AX321" s="65"/>
      <c r="AY321" s="85" t="s">
        <v>159</v>
      </c>
      <c r="AZ321" s="85">
        <f>$U$20</f>
        <v>0.01</v>
      </c>
      <c r="BA321" s="186"/>
      <c r="BB321" s="139"/>
      <c r="BC321" s="483"/>
    </row>
    <row r="322" spans="1:55" x14ac:dyDescent="0.25">
      <c r="A322" s="302"/>
      <c r="B322" s="720"/>
      <c r="C322" s="245"/>
      <c r="E322" s="66" t="s">
        <v>234</v>
      </c>
      <c r="F322" s="307">
        <f>INDEX(Normtal!$Q$3:$AC$551,MATCH(F319,Normtal!$AA$3:$AA$551, 0),4)*C316/365</f>
        <v>4.1656151024304018</v>
      </c>
      <c r="G322" s="283"/>
      <c r="H322" s="285">
        <f>H313*C315*0.4</f>
        <v>4.1656151024304027</v>
      </c>
      <c r="I322" s="44"/>
      <c r="J322" s="44"/>
      <c r="K322" s="65"/>
      <c r="L322" s="85" t="s">
        <v>195</v>
      </c>
      <c r="M322" s="85"/>
      <c r="N322" s="201">
        <f>INDEX($E$4:$N$19,MATCH(F307,$E$4:$E$19, 0),7)</f>
        <v>0.21</v>
      </c>
      <c r="Q322" s="211" t="s">
        <v>368</v>
      </c>
      <c r="R322" s="85" t="s">
        <v>10</v>
      </c>
      <c r="S322" s="300">
        <f>-_xlfn.AGGREGATE(9,6,G338:G339)</f>
        <v>-0.11319159331212994</v>
      </c>
      <c r="T322" s="44"/>
      <c r="U322" s="44"/>
      <c r="V322" s="65"/>
      <c r="W322" s="44"/>
      <c r="X322" s="44"/>
      <c r="Y322" s="186"/>
      <c r="Z322" s="139"/>
      <c r="AA322" s="302"/>
      <c r="AC322" s="483"/>
      <c r="AD322" s="720"/>
      <c r="AE322" s="245"/>
      <c r="AG322" s="66" t="s">
        <v>234</v>
      </c>
      <c r="AH322" s="307">
        <f>INDEX(Normtal!$Q$3:$AC$551,MATCH(AH319,Normtal!$AA$3:$AA$551, 0),4)*AE316/365</f>
        <v>2.937718542297155</v>
      </c>
      <c r="AI322" s="283"/>
      <c r="AJ322" s="285">
        <f>AJ313*AE315*0.4</f>
        <v>2.937718542297155</v>
      </c>
      <c r="AK322" s="44"/>
      <c r="AL322" s="44"/>
      <c r="AM322" s="65"/>
      <c r="AN322" s="85" t="s">
        <v>195</v>
      </c>
      <c r="AO322" s="85"/>
      <c r="AP322" s="201">
        <f>INDEX($E$4:$N$19,MATCH(AH307,$E$4:$E$19, 0),7)</f>
        <v>0.21</v>
      </c>
      <c r="AS322" s="211" t="s">
        <v>368</v>
      </c>
      <c r="AT322" s="85" t="s">
        <v>10</v>
      </c>
      <c r="AU322" s="300">
        <f>-_xlfn.AGGREGATE(9,6,AI338:AI339)</f>
        <v>-8.0257132858672281E-2</v>
      </c>
      <c r="AV322" s="44"/>
      <c r="AW322" s="44"/>
      <c r="AX322" s="65"/>
      <c r="AY322" s="44"/>
      <c r="AZ322" s="44"/>
      <c r="BA322" s="186"/>
      <c r="BB322" s="139"/>
      <c r="BC322" s="483"/>
    </row>
    <row r="323" spans="1:55" x14ac:dyDescent="0.25">
      <c r="A323" s="302"/>
      <c r="E323" s="66"/>
      <c r="F323" s="290"/>
      <c r="G323" s="290"/>
      <c r="H323" s="292"/>
      <c r="I323" s="44"/>
      <c r="J323" s="44"/>
      <c r="K323" s="251" t="s">
        <v>203</v>
      </c>
      <c r="L323" s="85"/>
      <c r="M323" s="85"/>
      <c r="N323" s="186"/>
      <c r="Q323" s="211" t="s">
        <v>366</v>
      </c>
      <c r="R323" s="85" t="s">
        <v>10</v>
      </c>
      <c r="S323" s="300">
        <f>-_xlfn.AGGREGATE(9,6,G340:G341)</f>
        <v>-1.1197394578435704</v>
      </c>
      <c r="T323" s="44"/>
      <c r="U323" s="44"/>
      <c r="V323" s="65"/>
      <c r="Y323" s="65"/>
      <c r="Z323" s="139"/>
      <c r="AA323" s="302"/>
      <c r="AC323" s="483"/>
      <c r="AG323" s="66"/>
      <c r="AH323" s="290"/>
      <c r="AI323" s="290"/>
      <c r="AJ323" s="292"/>
      <c r="AK323" s="44"/>
      <c r="AL323" s="44"/>
      <c r="AM323" s="251" t="s">
        <v>203</v>
      </c>
      <c r="AN323" s="85"/>
      <c r="AO323" s="85"/>
      <c r="AP323" s="186"/>
      <c r="AS323" s="211" t="s">
        <v>366</v>
      </c>
      <c r="AT323" s="85" t="s">
        <v>10</v>
      </c>
      <c r="AU323" s="300">
        <f>-_xlfn.AGGREGATE(9,6,AI340:AI341)</f>
        <v>-0.79110215863435207</v>
      </c>
      <c r="AV323" s="44"/>
      <c r="AW323" s="44"/>
      <c r="AX323" s="65"/>
      <c r="BA323" s="65"/>
      <c r="BB323" s="139"/>
      <c r="BC323" s="483"/>
    </row>
    <row r="324" spans="1:55" x14ac:dyDescent="0.25">
      <c r="A324" s="302"/>
      <c r="E324" s="96" t="s">
        <v>134</v>
      </c>
      <c r="F324" s="176">
        <f>_xlfn.AGGREGATE(9,6,F317,F322)</f>
        <v>10.281796006792501</v>
      </c>
      <c r="G324" s="288"/>
      <c r="H324" s="266">
        <f>_xlfn.AGGREGATE(9,6,H317,H322)</f>
        <v>10.281796006792501</v>
      </c>
      <c r="I324" s="44"/>
      <c r="J324" s="44"/>
      <c r="K324" s="65"/>
      <c r="L324" s="85"/>
      <c r="M324" s="85"/>
      <c r="N324" s="186"/>
      <c r="Q324" s="66"/>
      <c r="R324" s="44"/>
      <c r="S324" s="44"/>
      <c r="T324" s="301"/>
      <c r="U324" s="44"/>
      <c r="V324" s="65"/>
      <c r="W324" s="24"/>
      <c r="X324" s="24"/>
      <c r="Y324" s="120"/>
      <c r="Z324" s="48"/>
      <c r="AA324" s="302"/>
      <c r="AC324" s="483"/>
      <c r="AG324" s="96" t="s">
        <v>134</v>
      </c>
      <c r="AH324" s="176">
        <f>_xlfn.AGGREGATE(9,6,AH317,AH322)</f>
        <v>7.8339161127924122</v>
      </c>
      <c r="AI324" s="288"/>
      <c r="AJ324" s="266">
        <f>_xlfn.AGGREGATE(9,6,AJ317,AJ322)</f>
        <v>7.8339161127924131</v>
      </c>
      <c r="AK324" s="44"/>
      <c r="AL324" s="44"/>
      <c r="AM324" s="65"/>
      <c r="AN324" s="85"/>
      <c r="AO324" s="85"/>
      <c r="AP324" s="186"/>
      <c r="AS324" s="66"/>
      <c r="AT324" s="44"/>
      <c r="AU324" s="44"/>
      <c r="AV324" s="301"/>
      <c r="AW324" s="44"/>
      <c r="AX324" s="65"/>
      <c r="AY324" s="24"/>
      <c r="AZ324" s="24"/>
      <c r="BA324" s="120"/>
      <c r="BB324" s="48"/>
      <c r="BC324" s="483"/>
    </row>
    <row r="325" spans="1:55" x14ac:dyDescent="0.25">
      <c r="A325" s="302"/>
      <c r="E325" s="66"/>
      <c r="F325" s="44"/>
      <c r="G325" s="44"/>
      <c r="H325" s="44"/>
      <c r="I325" s="44"/>
      <c r="J325" s="44"/>
      <c r="K325" s="65"/>
      <c r="L325" s="85"/>
      <c r="M325" s="85"/>
      <c r="N325" s="186"/>
      <c r="Q325" s="96" t="s">
        <v>369</v>
      </c>
      <c r="R325" s="85" t="s">
        <v>10</v>
      </c>
      <c r="S325" s="198">
        <f>SUM(S315:S318)</f>
        <v>8.3363117286320634</v>
      </c>
      <c r="W325" s="44"/>
      <c r="X325" s="44"/>
      <c r="Y325" s="44"/>
      <c r="Z325" s="48"/>
      <c r="AA325" s="302"/>
      <c r="AC325" s="483"/>
      <c r="AG325" s="66"/>
      <c r="AH325" s="44"/>
      <c r="AI325" s="44"/>
      <c r="AJ325" s="44"/>
      <c r="AK325" s="44"/>
      <c r="AL325" s="44"/>
      <c r="AM325" s="65"/>
      <c r="AN325" s="85"/>
      <c r="AO325" s="85"/>
      <c r="AP325" s="186"/>
      <c r="AS325" s="96" t="s">
        <v>369</v>
      </c>
      <c r="AT325" s="85" t="s">
        <v>10</v>
      </c>
      <c r="AU325" s="198">
        <f>SUM(AU315:AU318)</f>
        <v>6.6929196597125395</v>
      </c>
      <c r="AY325" s="44"/>
      <c r="AZ325" s="44"/>
      <c r="BA325" s="44"/>
      <c r="BB325" s="48"/>
      <c r="BC325" s="483"/>
    </row>
    <row r="326" spans="1:55" x14ac:dyDescent="0.25">
      <c r="A326" s="302"/>
      <c r="E326" s="96" t="s">
        <v>84</v>
      </c>
      <c r="F326" s="85"/>
      <c r="G326" s="85"/>
      <c r="H326" s="44"/>
      <c r="I326" s="85"/>
      <c r="J326" s="44"/>
      <c r="K326" s="251" t="s">
        <v>203</v>
      </c>
      <c r="L326" s="85" t="str">
        <f>$T$20</f>
        <v>EF4</v>
      </c>
      <c r="M326" s="85">
        <f>$U$20</f>
        <v>0.01</v>
      </c>
      <c r="N326" s="186"/>
      <c r="Q326" s="310" t="s">
        <v>563</v>
      </c>
      <c r="R326" s="84" t="s">
        <v>10</v>
      </c>
      <c r="S326" s="457">
        <f>F317-G335</f>
        <v>5.2904964822732152</v>
      </c>
      <c r="U326" s="44"/>
      <c r="V326" s="65"/>
      <c r="W326" s="44"/>
      <c r="X326" s="44"/>
      <c r="Y326" s="44"/>
      <c r="Z326" s="48"/>
      <c r="AA326" s="302"/>
      <c r="AC326" s="483"/>
      <c r="AG326" s="96" t="s">
        <v>84</v>
      </c>
      <c r="AH326" s="85"/>
      <c r="AI326" s="85"/>
      <c r="AJ326" s="44"/>
      <c r="AK326" s="85"/>
      <c r="AL326" s="44"/>
      <c r="AM326" s="251" t="s">
        <v>203</v>
      </c>
      <c r="AN326" s="85" t="str">
        <f>$T$20</f>
        <v>EF4</v>
      </c>
      <c r="AO326" s="85">
        <f>$U$20</f>
        <v>0.01</v>
      </c>
      <c r="AP326" s="186"/>
      <c r="AS326" s="310" t="s">
        <v>563</v>
      </c>
      <c r="AT326" s="84" t="s">
        <v>10</v>
      </c>
      <c r="AU326" s="457">
        <f>AH317-AI335</f>
        <v>4.2352108984783978</v>
      </c>
      <c r="AW326" s="44"/>
      <c r="AX326" s="65"/>
      <c r="AY326" s="44"/>
      <c r="AZ326" s="44"/>
      <c r="BA326" s="44"/>
      <c r="BB326" s="48"/>
      <c r="BC326" s="483"/>
    </row>
    <row r="327" spans="1:55" x14ac:dyDescent="0.25">
      <c r="A327" s="302"/>
      <c r="E327" s="96" t="s">
        <v>105</v>
      </c>
      <c r="F327" s="85" t="s">
        <v>10</v>
      </c>
      <c r="G327" s="176">
        <f>(F312)*M320/100</f>
        <v>9.5646747149801162E-2</v>
      </c>
      <c r="H327" s="44"/>
      <c r="I327" s="85" t="s">
        <v>85</v>
      </c>
      <c r="J327" s="114" t="s">
        <v>86</v>
      </c>
      <c r="K327" s="252" t="s">
        <v>203</v>
      </c>
      <c r="L327" s="85" t="str">
        <f>$T$21</f>
        <v>[leaching/ runoff]</v>
      </c>
      <c r="M327" s="85">
        <f>$U$21</f>
        <v>0</v>
      </c>
      <c r="N327" s="186"/>
      <c r="Q327" s="96" t="s">
        <v>370</v>
      </c>
      <c r="R327" s="85" t="s">
        <v>10</v>
      </c>
      <c r="S327" s="198">
        <f>SUM(S320:S323)</f>
        <v>16.726573643718361</v>
      </c>
      <c r="W327" s="44"/>
      <c r="X327" s="44"/>
      <c r="Y327" s="44"/>
      <c r="Z327" s="48"/>
      <c r="AA327" s="302"/>
      <c r="AC327" s="483"/>
      <c r="AG327" s="96" t="s">
        <v>105</v>
      </c>
      <c r="AH327" s="85" t="s">
        <v>10</v>
      </c>
      <c r="AI327" s="176">
        <f>(AH312)*AO320/100</f>
        <v>7.1082910887249731E-2</v>
      </c>
      <c r="AJ327" s="44"/>
      <c r="AK327" s="85" t="s">
        <v>85</v>
      </c>
      <c r="AL327" s="114" t="s">
        <v>86</v>
      </c>
      <c r="AM327" s="252" t="s">
        <v>203</v>
      </c>
      <c r="AN327" s="85" t="str">
        <f>$T$21</f>
        <v>[leaching/ runoff]</v>
      </c>
      <c r="AO327" s="85">
        <f>$U$21</f>
        <v>0</v>
      </c>
      <c r="AP327" s="186"/>
      <c r="AS327" s="96" t="s">
        <v>370</v>
      </c>
      <c r="AT327" s="85" t="s">
        <v>10</v>
      </c>
      <c r="AU327" s="198">
        <f>SUM(AU320:AU323)</f>
        <v>11.974256136957976</v>
      </c>
      <c r="AY327" s="44"/>
      <c r="AZ327" s="44"/>
      <c r="BA327" s="44"/>
      <c r="BB327" s="48"/>
      <c r="BC327" s="483"/>
    </row>
    <row r="328" spans="1:55" x14ac:dyDescent="0.25">
      <c r="A328" s="302"/>
      <c r="E328" s="96" t="s">
        <v>106</v>
      </c>
      <c r="F328" s="85" t="s">
        <v>10</v>
      </c>
      <c r="G328" s="198">
        <f>(F312)*N322/100</f>
        <v>5.0214542253645605E-2</v>
      </c>
      <c r="H328" s="44"/>
      <c r="I328" s="85" t="s">
        <v>87</v>
      </c>
      <c r="J328" s="114" t="s">
        <v>88</v>
      </c>
      <c r="K328" s="252" t="s">
        <v>203</v>
      </c>
      <c r="L328" s="85" t="str">
        <f>$T$22</f>
        <v>EF5</v>
      </c>
      <c r="M328" s="85">
        <f>$U$22</f>
        <v>1.0999999999999999E-2</v>
      </c>
      <c r="N328" s="186"/>
      <c r="T328" s="44"/>
      <c r="U328" s="44"/>
      <c r="V328" s="65"/>
      <c r="W328" s="85"/>
      <c r="X328" s="85"/>
      <c r="Y328" s="85"/>
      <c r="Z328" s="48"/>
      <c r="AA328" s="302"/>
      <c r="AC328" s="483"/>
      <c r="AG328" s="96" t="s">
        <v>106</v>
      </c>
      <c r="AH328" s="85" t="s">
        <v>10</v>
      </c>
      <c r="AI328" s="198">
        <f>(AH312)*AP322/100</f>
        <v>3.7318528215806106E-2</v>
      </c>
      <c r="AJ328" s="44"/>
      <c r="AK328" s="85" t="s">
        <v>87</v>
      </c>
      <c r="AL328" s="114" t="s">
        <v>88</v>
      </c>
      <c r="AM328" s="252" t="s">
        <v>203</v>
      </c>
      <c r="AN328" s="85" t="str">
        <f>$T$22</f>
        <v>EF5</v>
      </c>
      <c r="AO328" s="85">
        <f>$U$22</f>
        <v>1.0999999999999999E-2</v>
      </c>
      <c r="AP328" s="186"/>
      <c r="AV328" s="44"/>
      <c r="AW328" s="44"/>
      <c r="AX328" s="65"/>
      <c r="AY328" s="85"/>
      <c r="AZ328" s="85"/>
      <c r="BA328" s="85"/>
      <c r="BB328" s="48"/>
      <c r="BC328" s="483"/>
    </row>
    <row r="329" spans="1:55" x14ac:dyDescent="0.25">
      <c r="A329" s="302"/>
      <c r="E329" s="96" t="s">
        <v>200</v>
      </c>
      <c r="F329" s="85" t="s">
        <v>10</v>
      </c>
      <c r="G329" s="198">
        <f>F312*M329/100</f>
        <v>5.7388048289880693E-2</v>
      </c>
      <c r="H329" s="44"/>
      <c r="I329" s="85" t="s">
        <v>201</v>
      </c>
      <c r="J329" s="44"/>
      <c r="K329" s="251" t="s">
        <v>203</v>
      </c>
      <c r="L329" s="85" t="str">
        <f>$T$23</f>
        <v>FracLEACH</v>
      </c>
      <c r="M329" s="85">
        <f>$U$23</f>
        <v>0.24</v>
      </c>
      <c r="N329" s="186"/>
      <c r="Q329" s="96" t="s">
        <v>136</v>
      </c>
      <c r="R329" s="85"/>
      <c r="S329" s="85"/>
      <c r="T329" s="85"/>
      <c r="U329" s="85"/>
      <c r="V329" s="186" t="s">
        <v>210</v>
      </c>
      <c r="W329" s="44"/>
      <c r="X329" s="44"/>
      <c r="Y329" s="44"/>
      <c r="Z329" s="48"/>
      <c r="AA329" s="302"/>
      <c r="AC329" s="483"/>
      <c r="AG329" s="96" t="s">
        <v>200</v>
      </c>
      <c r="AH329" s="85" t="s">
        <v>10</v>
      </c>
      <c r="AI329" s="198">
        <f>AH312*AO329/100</f>
        <v>4.2649746532349833E-2</v>
      </c>
      <c r="AJ329" s="44"/>
      <c r="AK329" s="85" t="s">
        <v>201</v>
      </c>
      <c r="AL329" s="44"/>
      <c r="AM329" s="251" t="s">
        <v>203</v>
      </c>
      <c r="AN329" s="85" t="str">
        <f>$T$23</f>
        <v>FracLEACH</v>
      </c>
      <c r="AO329" s="85">
        <f>$U$23</f>
        <v>0.24</v>
      </c>
      <c r="AP329" s="186"/>
      <c r="AS329" s="96" t="s">
        <v>136</v>
      </c>
      <c r="AT329" s="85"/>
      <c r="AU329" s="85"/>
      <c r="AV329" s="85"/>
      <c r="AW329" s="85"/>
      <c r="AX329" s="186" t="s">
        <v>210</v>
      </c>
      <c r="AY329" s="44"/>
      <c r="AZ329" s="44"/>
      <c r="BA329" s="44"/>
      <c r="BB329" s="48"/>
      <c r="BC329" s="483"/>
    </row>
    <row r="330" spans="1:55" x14ac:dyDescent="0.25">
      <c r="A330" s="302"/>
      <c r="E330" s="66"/>
      <c r="F330" s="85"/>
      <c r="G330" s="176"/>
      <c r="H330" s="44"/>
      <c r="I330" s="85"/>
      <c r="J330" s="44"/>
      <c r="K330" s="251" t="s">
        <v>203</v>
      </c>
      <c r="L330" s="24"/>
      <c r="M330" s="24"/>
      <c r="N330" s="196"/>
      <c r="Q330" s="96" t="s">
        <v>375</v>
      </c>
      <c r="R330" s="85" t="s">
        <v>10</v>
      </c>
      <c r="S330" s="176">
        <f>(S325*X309/100)</f>
        <v>4.1681558643160317E-2</v>
      </c>
      <c r="T330" s="212" t="s">
        <v>561</v>
      </c>
      <c r="U330" s="212" t="s">
        <v>379</v>
      </c>
      <c r="V330" s="186" t="s">
        <v>210</v>
      </c>
      <c r="W330" s="44"/>
      <c r="X330" s="44"/>
      <c r="Y330" s="44"/>
      <c r="Z330" s="44"/>
      <c r="AA330" s="302"/>
      <c r="AC330" s="483"/>
      <c r="AG330" s="66"/>
      <c r="AH330" s="85"/>
      <c r="AI330" s="176"/>
      <c r="AJ330" s="44"/>
      <c r="AK330" s="85"/>
      <c r="AL330" s="44"/>
      <c r="AM330" s="251" t="s">
        <v>203</v>
      </c>
      <c r="AN330" s="24"/>
      <c r="AO330" s="24"/>
      <c r="AP330" s="196"/>
      <c r="AS330" s="96" t="s">
        <v>375</v>
      </c>
      <c r="AT330" s="85" t="s">
        <v>10</v>
      </c>
      <c r="AU330" s="176">
        <f>(AU325*AZ309/100)</f>
        <v>3.3464598298562701E-2</v>
      </c>
      <c r="AV330" s="212" t="s">
        <v>561</v>
      </c>
      <c r="AW330" s="212" t="s">
        <v>379</v>
      </c>
      <c r="AX330" s="186" t="s">
        <v>210</v>
      </c>
      <c r="AY330" s="44"/>
      <c r="AZ330" s="44"/>
      <c r="BA330" s="44"/>
      <c r="BB330" s="44"/>
      <c r="BC330" s="483"/>
    </row>
    <row r="331" spans="1:55" x14ac:dyDescent="0.25">
      <c r="A331" s="302"/>
      <c r="E331" s="96" t="s">
        <v>89</v>
      </c>
      <c r="F331" s="85"/>
      <c r="G331" s="176"/>
      <c r="H331" s="44"/>
      <c r="I331" s="85"/>
      <c r="J331" s="44"/>
      <c r="K331" s="251"/>
      <c r="L331" s="85"/>
      <c r="M331" s="85"/>
      <c r="N331" s="85"/>
      <c r="O331" s="44"/>
      <c r="Q331" s="96" t="s">
        <v>373</v>
      </c>
      <c r="R331" s="85" t="s">
        <v>10</v>
      </c>
      <c r="S331" s="176">
        <f>(S327*Y314/100)*0.35</f>
        <v>5.8543007753014256E-2</v>
      </c>
      <c r="T331" s="212" t="s">
        <v>141</v>
      </c>
      <c r="U331" s="212" t="s">
        <v>143</v>
      </c>
      <c r="V331" s="184" t="s">
        <v>210</v>
      </c>
      <c r="W331" s="85"/>
      <c r="X331" s="85"/>
      <c r="Y331" s="85"/>
      <c r="Z331" s="44"/>
      <c r="AA331" s="302"/>
      <c r="AC331" s="483"/>
      <c r="AG331" s="96" t="s">
        <v>89</v>
      </c>
      <c r="AH331" s="85"/>
      <c r="AI331" s="176"/>
      <c r="AJ331" s="44"/>
      <c r="AK331" s="85"/>
      <c r="AL331" s="44"/>
      <c r="AM331" s="251"/>
      <c r="AN331" s="85"/>
      <c r="AO331" s="85"/>
      <c r="AP331" s="85"/>
      <c r="AQ331" s="44"/>
      <c r="AS331" s="96" t="s">
        <v>373</v>
      </c>
      <c r="AT331" s="85" t="s">
        <v>10</v>
      </c>
      <c r="AU331" s="176">
        <f>(AU327*BA314/100)*0.35</f>
        <v>4.1909896479352914E-2</v>
      </c>
      <c r="AV331" s="212" t="s">
        <v>141</v>
      </c>
      <c r="AW331" s="212" t="s">
        <v>143</v>
      </c>
      <c r="AX331" s="184" t="s">
        <v>210</v>
      </c>
      <c r="AY331" s="85"/>
      <c r="AZ331" s="85"/>
      <c r="BA331" s="85"/>
      <c r="BB331" s="44"/>
      <c r="BC331" s="483"/>
    </row>
    <row r="332" spans="1:55" x14ac:dyDescent="0.25">
      <c r="A332" s="302"/>
      <c r="E332" s="97" t="s">
        <v>236</v>
      </c>
      <c r="F332" s="85"/>
      <c r="G332" s="176"/>
      <c r="H332" s="44"/>
      <c r="I332" s="85"/>
      <c r="J332" s="116"/>
      <c r="K332" s="252"/>
      <c r="L332" s="85"/>
      <c r="M332" s="85"/>
      <c r="N332" s="85"/>
      <c r="O332" s="44"/>
      <c r="Q332" s="97" t="s">
        <v>376</v>
      </c>
      <c r="R332" s="84" t="s">
        <v>10</v>
      </c>
      <c r="S332" s="456">
        <f>S326*X310/100</f>
        <v>0.1798768803972893</v>
      </c>
      <c r="T332" s="458" t="s">
        <v>562</v>
      </c>
      <c r="U332" s="212" t="s">
        <v>380</v>
      </c>
      <c r="V332" s="184" t="s">
        <v>210</v>
      </c>
      <c r="W332" s="85"/>
      <c r="X332" s="85"/>
      <c r="Y332" s="85"/>
      <c r="Z332" s="44"/>
      <c r="AA332" s="302"/>
      <c r="AC332" s="483"/>
      <c r="AG332" s="97" t="s">
        <v>236</v>
      </c>
      <c r="AH332" s="85"/>
      <c r="AI332" s="176"/>
      <c r="AJ332" s="44"/>
      <c r="AK332" s="85"/>
      <c r="AL332" s="116"/>
      <c r="AM332" s="252"/>
      <c r="AN332" s="85"/>
      <c r="AO332" s="85"/>
      <c r="AP332" s="85"/>
      <c r="AQ332" s="44"/>
      <c r="AS332" s="97" t="s">
        <v>376</v>
      </c>
      <c r="AT332" s="84" t="s">
        <v>10</v>
      </c>
      <c r="AU332" s="456">
        <f>AU326*AZ310/100</f>
        <v>0.14399717054826552</v>
      </c>
      <c r="AV332" s="458" t="s">
        <v>562</v>
      </c>
      <c r="AW332" s="212" t="s">
        <v>380</v>
      </c>
      <c r="AX332" s="184" t="s">
        <v>210</v>
      </c>
      <c r="AY332" s="85"/>
      <c r="AZ332" s="85"/>
      <c r="BA332" s="85"/>
      <c r="BB332" s="44"/>
      <c r="BC332" s="483"/>
    </row>
    <row r="333" spans="1:55" x14ac:dyDescent="0.25">
      <c r="A333" s="302"/>
      <c r="E333" s="97" t="s">
        <v>107</v>
      </c>
      <c r="F333" s="85" t="s">
        <v>10</v>
      </c>
      <c r="G333" s="282">
        <f>(F315+F316)*M309/100</f>
        <v>1.8360713728899695E-2</v>
      </c>
      <c r="H333" s="44"/>
      <c r="I333" s="85"/>
      <c r="J333" s="116"/>
      <c r="K333" s="252"/>
      <c r="L333" s="85"/>
      <c r="M333" s="85"/>
      <c r="N333" s="85"/>
      <c r="O333" s="44"/>
      <c r="Q333" s="97" t="s">
        <v>544</v>
      </c>
      <c r="R333" s="84" t="s">
        <v>10</v>
      </c>
      <c r="S333" s="432">
        <f>S326*X310/100*(1+X312*C318)</f>
        <v>0.1798768803972893</v>
      </c>
      <c r="T333" s="458" t="s">
        <v>565</v>
      </c>
      <c r="U333" s="212" t="s">
        <v>380</v>
      </c>
      <c r="V333" s="184" t="s">
        <v>210</v>
      </c>
      <c r="W333" s="44"/>
      <c r="X333" s="44"/>
      <c r="Y333" s="44"/>
      <c r="Z333" s="44"/>
      <c r="AA333" s="302"/>
      <c r="AC333" s="483"/>
      <c r="AG333" s="97" t="s">
        <v>107</v>
      </c>
      <c r="AH333" s="85" t="s">
        <v>10</v>
      </c>
      <c r="AI333" s="282">
        <f>(AH315+AH316)*AO309/100</f>
        <v>1.4737287237934668E-2</v>
      </c>
      <c r="AJ333" s="44"/>
      <c r="AK333" s="85"/>
      <c r="AL333" s="116"/>
      <c r="AM333" s="252"/>
      <c r="AN333" s="85"/>
      <c r="AO333" s="85"/>
      <c r="AP333" s="85"/>
      <c r="AQ333" s="44"/>
      <c r="AS333" s="97" t="s">
        <v>544</v>
      </c>
      <c r="AT333" s="84" t="s">
        <v>10</v>
      </c>
      <c r="AU333" s="432">
        <f>AU326*AZ310/100*(1+AZ312*AE318)</f>
        <v>0.14399717054826552</v>
      </c>
      <c r="AV333" s="458" t="s">
        <v>565</v>
      </c>
      <c r="AW333" s="212" t="s">
        <v>380</v>
      </c>
      <c r="AX333" s="184" t="s">
        <v>210</v>
      </c>
      <c r="AY333" s="44"/>
      <c r="AZ333" s="44"/>
      <c r="BA333" s="44"/>
      <c r="BB333" s="44"/>
      <c r="BC333" s="483"/>
    </row>
    <row r="334" spans="1:55" x14ac:dyDescent="0.25">
      <c r="A334" s="302"/>
      <c r="E334" s="97" t="s">
        <v>108</v>
      </c>
      <c r="F334" s="85" t="s">
        <v>10</v>
      </c>
      <c r="G334" s="282">
        <f>(G315+G316)*N309/100</f>
        <v>0</v>
      </c>
      <c r="H334" s="44"/>
      <c r="I334" s="85"/>
      <c r="J334" s="116"/>
      <c r="K334" s="252"/>
      <c r="L334" s="85"/>
      <c r="M334" s="85"/>
      <c r="N334" s="85"/>
      <c r="O334" s="44"/>
      <c r="Q334" s="96" t="s">
        <v>374</v>
      </c>
      <c r="R334" s="85" t="s">
        <v>10</v>
      </c>
      <c r="S334" s="198">
        <f>(S327*Y316/100)*0.35</f>
        <v>0.17562902325904278</v>
      </c>
      <c r="T334" s="212" t="s">
        <v>142</v>
      </c>
      <c r="U334" s="212" t="s">
        <v>144</v>
      </c>
      <c r="V334" s="184" t="s">
        <v>210</v>
      </c>
      <c r="W334" s="44"/>
      <c r="X334" s="44"/>
      <c r="Y334" s="44"/>
      <c r="Z334" s="44"/>
      <c r="AA334" s="302"/>
      <c r="AC334" s="483"/>
      <c r="AG334" s="97" t="s">
        <v>108</v>
      </c>
      <c r="AH334" s="85" t="s">
        <v>10</v>
      </c>
      <c r="AI334" s="282">
        <f>(AI315+AI316)*AP309/100</f>
        <v>0</v>
      </c>
      <c r="AJ334" s="44"/>
      <c r="AK334" s="85"/>
      <c r="AL334" s="116"/>
      <c r="AM334" s="252"/>
      <c r="AN334" s="85"/>
      <c r="AO334" s="85"/>
      <c r="AP334" s="85"/>
      <c r="AQ334" s="44"/>
      <c r="AS334" s="96" t="s">
        <v>374</v>
      </c>
      <c r="AT334" s="85" t="s">
        <v>10</v>
      </c>
      <c r="AU334" s="198">
        <f>(AU327*BA316/100)*0.35</f>
        <v>0.12572968943805873</v>
      </c>
      <c r="AV334" s="212" t="s">
        <v>142</v>
      </c>
      <c r="AW334" s="212" t="s">
        <v>144</v>
      </c>
      <c r="AX334" s="184" t="s">
        <v>210</v>
      </c>
      <c r="AY334" s="44"/>
      <c r="AZ334" s="44"/>
      <c r="BA334" s="44"/>
      <c r="BB334" s="44"/>
      <c r="BC334" s="483"/>
    </row>
    <row r="335" spans="1:55" x14ac:dyDescent="0.25">
      <c r="A335" s="302"/>
      <c r="E335" s="97" t="s">
        <v>109</v>
      </c>
      <c r="F335" s="85" t="s">
        <v>10</v>
      </c>
      <c r="G335" s="197">
        <f>F317*M311/100</f>
        <v>0.82568442208888337</v>
      </c>
      <c r="H335" s="44"/>
      <c r="I335" s="85"/>
      <c r="J335" s="116"/>
      <c r="K335" s="252"/>
      <c r="L335" s="85"/>
      <c r="M335" s="85"/>
      <c r="N335" s="85"/>
      <c r="O335" s="44"/>
      <c r="Q335" s="97" t="s">
        <v>383</v>
      </c>
      <c r="R335" s="85"/>
      <c r="S335" s="85"/>
      <c r="T335" s="85"/>
      <c r="U335" s="85"/>
      <c r="V335" s="186" t="s">
        <v>210</v>
      </c>
      <c r="W335" s="44"/>
      <c r="X335" s="44"/>
      <c r="Y335" s="44"/>
      <c r="Z335" s="44"/>
      <c r="AA335" s="302"/>
      <c r="AC335" s="483"/>
      <c r="AG335" s="97" t="s">
        <v>109</v>
      </c>
      <c r="AH335" s="85" t="s">
        <v>10</v>
      </c>
      <c r="AI335" s="197">
        <f>AH317*AO311/100</f>
        <v>0.66098667201685968</v>
      </c>
      <c r="AJ335" s="44"/>
      <c r="AK335" s="85"/>
      <c r="AL335" s="116"/>
      <c r="AM335" s="252"/>
      <c r="AN335" s="85"/>
      <c r="AO335" s="85"/>
      <c r="AP335" s="85"/>
      <c r="AQ335" s="44"/>
      <c r="AS335" s="97" t="s">
        <v>383</v>
      </c>
      <c r="AT335" s="85"/>
      <c r="AU335" s="85"/>
      <c r="AV335" s="85"/>
      <c r="AW335" s="85"/>
      <c r="AX335" s="186" t="s">
        <v>210</v>
      </c>
      <c r="AY335" s="44"/>
      <c r="AZ335" s="44"/>
      <c r="BA335" s="44"/>
      <c r="BB335" s="44"/>
      <c r="BC335" s="483"/>
    </row>
    <row r="336" spans="1:55" x14ac:dyDescent="0.25">
      <c r="A336" s="302"/>
      <c r="E336" s="97" t="s">
        <v>110</v>
      </c>
      <c r="F336" s="85" t="s">
        <v>10</v>
      </c>
      <c r="G336" s="197">
        <f>(G315)*N310/100</f>
        <v>0</v>
      </c>
      <c r="H336" s="44"/>
      <c r="I336" s="85"/>
      <c r="J336" s="116"/>
      <c r="K336" s="252"/>
      <c r="L336" s="85"/>
      <c r="M336" s="85"/>
      <c r="N336" s="85"/>
      <c r="O336" s="44"/>
      <c r="Q336" s="96" t="s">
        <v>12</v>
      </c>
      <c r="R336" s="84" t="s">
        <v>13</v>
      </c>
      <c r="S336" s="182">
        <f>SUM(S330:S331)*(44/28)*$U$13</f>
        <v>42.996338983958893</v>
      </c>
      <c r="T336" s="85"/>
      <c r="U336" s="85"/>
      <c r="V336" s="186" t="s">
        <v>210</v>
      </c>
      <c r="AA336" s="302"/>
      <c r="AC336" s="483"/>
      <c r="AG336" s="97" t="s">
        <v>110</v>
      </c>
      <c r="AH336" s="85" t="s">
        <v>10</v>
      </c>
      <c r="AI336" s="197">
        <f>(AI315)*AP310/100</f>
        <v>0</v>
      </c>
      <c r="AJ336" s="44"/>
      <c r="AK336" s="85"/>
      <c r="AL336" s="116"/>
      <c r="AM336" s="252"/>
      <c r="AN336" s="85"/>
      <c r="AO336" s="85"/>
      <c r="AP336" s="85"/>
      <c r="AQ336" s="44"/>
      <c r="AS336" s="96" t="s">
        <v>12</v>
      </c>
      <c r="AT336" s="84" t="s">
        <v>13</v>
      </c>
      <c r="AU336" s="182">
        <f>SUM(AU330:AU331)*(44/28)*$U$13</f>
        <v>32.335658259725797</v>
      </c>
      <c r="AV336" s="85"/>
      <c r="AW336" s="85"/>
      <c r="AX336" s="186" t="s">
        <v>210</v>
      </c>
      <c r="BC336" s="483"/>
    </row>
    <row r="337" spans="1:55" x14ac:dyDescent="0.25">
      <c r="A337" s="302"/>
      <c r="E337" s="96" t="s">
        <v>237</v>
      </c>
      <c r="F337" s="85"/>
      <c r="G337" s="176"/>
      <c r="H337" s="44"/>
      <c r="I337" s="85"/>
      <c r="J337" s="44"/>
      <c r="K337" s="251"/>
      <c r="L337" s="85"/>
      <c r="M337" s="85"/>
      <c r="N337" s="85"/>
      <c r="O337" s="44"/>
      <c r="Q337" s="96" t="s">
        <v>14</v>
      </c>
      <c r="R337" s="84" t="s">
        <v>13</v>
      </c>
      <c r="S337" s="176">
        <f>SUM(S332,S334)*(44/28)*X321*$U$13</f>
        <v>1.5251203266856646</v>
      </c>
      <c r="T337" s="85"/>
      <c r="U337" s="85"/>
      <c r="V337" s="186"/>
      <c r="AA337" s="302"/>
      <c r="AC337" s="483"/>
      <c r="AG337" s="96" t="s">
        <v>237</v>
      </c>
      <c r="AH337" s="85"/>
      <c r="AI337" s="176"/>
      <c r="AJ337" s="44"/>
      <c r="AK337" s="85"/>
      <c r="AL337" s="44"/>
      <c r="AM337" s="251"/>
      <c r="AN337" s="85"/>
      <c r="AO337" s="85"/>
      <c r="AP337" s="85"/>
      <c r="AQ337" s="44"/>
      <c r="AS337" s="96" t="s">
        <v>14</v>
      </c>
      <c r="AT337" s="84" t="s">
        <v>13</v>
      </c>
      <c r="AU337" s="176">
        <f>SUM(AU332,AU334)*(44/28)*AZ321*$U$13</f>
        <v>1.1571282293413312</v>
      </c>
      <c r="AV337" s="85"/>
      <c r="AW337" s="85"/>
      <c r="AX337" s="186"/>
      <c r="BC337" s="483"/>
    </row>
    <row r="338" spans="1:55" x14ac:dyDescent="0.25">
      <c r="A338" s="302"/>
      <c r="E338" s="97" t="s">
        <v>107</v>
      </c>
      <c r="F338" s="85" t="s">
        <v>10</v>
      </c>
      <c r="G338" s="197">
        <f>((F320)+(F321*C316/365))*M313/100</f>
        <v>1.2386253755899253E-2</v>
      </c>
      <c r="H338" s="44"/>
      <c r="I338" s="85" t="s">
        <v>111</v>
      </c>
      <c r="J338" s="114" t="s">
        <v>11</v>
      </c>
      <c r="K338" s="252" t="s">
        <v>203</v>
      </c>
      <c r="L338" s="85"/>
      <c r="M338" s="85"/>
      <c r="N338" s="85"/>
      <c r="O338" s="44"/>
      <c r="Q338" s="96" t="s">
        <v>545</v>
      </c>
      <c r="R338" s="84" t="s">
        <v>13</v>
      </c>
      <c r="S338" s="258">
        <f>SUM(S333,S334)*(44/28)*X321*$U$13</f>
        <v>1.5251203266856646</v>
      </c>
      <c r="T338" s="85"/>
      <c r="U338" s="85"/>
      <c r="V338" s="186"/>
      <c r="AA338" s="302"/>
      <c r="AC338" s="483"/>
      <c r="AG338" s="97" t="s">
        <v>107</v>
      </c>
      <c r="AH338" s="85" t="s">
        <v>10</v>
      </c>
      <c r="AI338" s="197">
        <f>((AH320)+(AH321*AE316/365))*AO313/100</f>
        <v>8.7668923427608007E-3</v>
      </c>
      <c r="AJ338" s="44"/>
      <c r="AK338" s="85" t="s">
        <v>111</v>
      </c>
      <c r="AL338" s="114" t="s">
        <v>11</v>
      </c>
      <c r="AM338" s="252" t="s">
        <v>203</v>
      </c>
      <c r="AN338" s="85"/>
      <c r="AO338" s="85"/>
      <c r="AP338" s="85"/>
      <c r="AQ338" s="44"/>
      <c r="AS338" s="96" t="s">
        <v>545</v>
      </c>
      <c r="AT338" s="84" t="s">
        <v>13</v>
      </c>
      <c r="AU338" s="258">
        <f>SUM(AU333,AU334)*(44/28)*AZ321*$U$13</f>
        <v>1.1571282293413312</v>
      </c>
      <c r="AV338" s="85"/>
      <c r="AW338" s="85"/>
      <c r="AX338" s="186"/>
      <c r="BC338" s="483"/>
    </row>
    <row r="339" spans="1:55" x14ac:dyDescent="0.25">
      <c r="A339" s="302"/>
      <c r="E339" s="97" t="s">
        <v>108</v>
      </c>
      <c r="F339" s="85" t="s">
        <v>10</v>
      </c>
      <c r="G339" s="197">
        <f>((G320)+(G321*C316/365))*N313/100</f>
        <v>0.10080533955623068</v>
      </c>
      <c r="H339" s="44"/>
      <c r="I339" s="85" t="s">
        <v>140</v>
      </c>
      <c r="J339" s="116"/>
      <c r="K339" s="251" t="s">
        <v>203</v>
      </c>
      <c r="L339" s="85"/>
      <c r="M339" s="85"/>
      <c r="N339" s="85"/>
      <c r="O339" s="44"/>
      <c r="Q339" s="122"/>
      <c r="R339" s="98"/>
      <c r="S339" s="199"/>
      <c r="T339" s="101"/>
      <c r="U339" s="101"/>
      <c r="V339" s="196" t="s">
        <v>210</v>
      </c>
      <c r="AA339" s="302"/>
      <c r="AC339" s="483"/>
      <c r="AG339" s="97" t="s">
        <v>108</v>
      </c>
      <c r="AH339" s="85" t="s">
        <v>10</v>
      </c>
      <c r="AI339" s="197">
        <f>((AI320)+(AI321*AE316/365))*AP313/100</f>
        <v>7.1490240515911477E-2</v>
      </c>
      <c r="AJ339" s="44"/>
      <c r="AK339" s="85" t="s">
        <v>140</v>
      </c>
      <c r="AL339" s="116"/>
      <c r="AM339" s="251" t="s">
        <v>203</v>
      </c>
      <c r="AN339" s="85"/>
      <c r="AO339" s="85"/>
      <c r="AP339" s="85"/>
      <c r="AQ339" s="44"/>
      <c r="AS339" s="122"/>
      <c r="AT339" s="98"/>
      <c r="AU339" s="199"/>
      <c r="AV339" s="101"/>
      <c r="AW339" s="101"/>
      <c r="AX339" s="196" t="s">
        <v>210</v>
      </c>
      <c r="BC339" s="483"/>
    </row>
    <row r="340" spans="1:55" x14ac:dyDescent="0.25">
      <c r="A340" s="302"/>
      <c r="E340" s="97" t="s">
        <v>109</v>
      </c>
      <c r="F340" s="85" t="s">
        <v>10</v>
      </c>
      <c r="G340" s="197">
        <f>F322*M315/100</f>
        <v>0.5623580388281042</v>
      </c>
      <c r="H340" s="44"/>
      <c r="I340" s="85" t="s">
        <v>112</v>
      </c>
      <c r="J340" s="114" t="s">
        <v>90</v>
      </c>
      <c r="K340" s="252" t="s">
        <v>203</v>
      </c>
      <c r="L340" s="85"/>
      <c r="M340" s="85"/>
      <c r="N340" s="85"/>
      <c r="O340" s="44"/>
      <c r="AA340" s="302"/>
      <c r="AC340" s="483"/>
      <c r="AG340" s="97" t="s">
        <v>109</v>
      </c>
      <c r="AH340" s="85" t="s">
        <v>10</v>
      </c>
      <c r="AI340" s="197">
        <f>AH322*AO315/100</f>
        <v>0.39659200321011595</v>
      </c>
      <c r="AJ340" s="44"/>
      <c r="AK340" s="85" t="s">
        <v>112</v>
      </c>
      <c r="AL340" s="114" t="s">
        <v>90</v>
      </c>
      <c r="AM340" s="252" t="s">
        <v>203</v>
      </c>
      <c r="AN340" s="85"/>
      <c r="AO340" s="85"/>
      <c r="AP340" s="85"/>
      <c r="AQ340" s="44"/>
      <c r="BC340" s="483"/>
    </row>
    <row r="341" spans="1:55" x14ac:dyDescent="0.25">
      <c r="A341" s="302"/>
      <c r="E341" s="97" t="s">
        <v>110</v>
      </c>
      <c r="F341" s="85" t="s">
        <v>10</v>
      </c>
      <c r="G341" s="197">
        <f>(G320)*N314/100</f>
        <v>0.55738141901546623</v>
      </c>
      <c r="H341" s="44"/>
      <c r="I341" s="44"/>
      <c r="J341" s="116"/>
      <c r="K341" s="252" t="s">
        <v>203</v>
      </c>
      <c r="L341" s="85"/>
      <c r="M341" s="85"/>
      <c r="N341" s="85"/>
      <c r="O341" s="44"/>
      <c r="AA341" s="302"/>
      <c r="AC341" s="483"/>
      <c r="AG341" s="97" t="s">
        <v>110</v>
      </c>
      <c r="AH341" s="85" t="s">
        <v>10</v>
      </c>
      <c r="AI341" s="197">
        <f>(AI320)*AP314/100</f>
        <v>0.39451015542423606</v>
      </c>
      <c r="AJ341" s="44"/>
      <c r="AK341" s="44"/>
      <c r="AL341" s="116"/>
      <c r="AM341" s="252" t="s">
        <v>203</v>
      </c>
      <c r="AN341" s="85"/>
      <c r="AO341" s="85"/>
      <c r="AP341" s="85"/>
      <c r="AQ341" s="44"/>
      <c r="BC341" s="483"/>
    </row>
    <row r="342" spans="1:55" x14ac:dyDescent="0.25">
      <c r="A342" s="302"/>
      <c r="E342" s="97"/>
      <c r="F342" s="85"/>
      <c r="G342" s="176"/>
      <c r="H342" s="44"/>
      <c r="I342" s="85"/>
      <c r="J342" s="116"/>
      <c r="K342" s="252"/>
      <c r="L342" s="44"/>
      <c r="M342" s="44"/>
      <c r="N342" s="44"/>
      <c r="O342" s="44"/>
      <c r="V342" s="56" t="s">
        <v>210</v>
      </c>
      <c r="AA342" s="302"/>
      <c r="AC342" s="483"/>
      <c r="AG342" s="97"/>
      <c r="AH342" s="85"/>
      <c r="AI342" s="176"/>
      <c r="AJ342" s="44"/>
      <c r="AK342" s="85"/>
      <c r="AL342" s="116"/>
      <c r="AM342" s="252"/>
      <c r="AN342" s="44"/>
      <c r="AO342" s="44"/>
      <c r="AP342" s="44"/>
      <c r="AQ342" s="44"/>
      <c r="AX342" s="56" t="s">
        <v>210</v>
      </c>
      <c r="BC342" s="483"/>
    </row>
    <row r="343" spans="1:55" x14ac:dyDescent="0.25">
      <c r="A343" s="302"/>
      <c r="E343" s="97" t="s">
        <v>239</v>
      </c>
      <c r="F343" s="85" t="s">
        <v>10</v>
      </c>
      <c r="G343" s="176">
        <f>_xlfn.AGGREGATE(9,6,G333,G334,G338,G339)</f>
        <v>0.13155230704102963</v>
      </c>
      <c r="H343" s="44"/>
      <c r="I343" s="85" t="s">
        <v>113</v>
      </c>
      <c r="J343" s="100"/>
      <c r="K343" s="252" t="s">
        <v>203</v>
      </c>
      <c r="L343" s="44"/>
      <c r="M343" s="44"/>
      <c r="N343" s="44"/>
      <c r="O343" s="44"/>
      <c r="V343" s="56" t="s">
        <v>210</v>
      </c>
      <c r="AA343" s="302"/>
      <c r="AC343" s="483"/>
      <c r="AG343" s="97" t="s">
        <v>239</v>
      </c>
      <c r="AH343" s="85" t="s">
        <v>10</v>
      </c>
      <c r="AI343" s="176">
        <f>_xlfn.AGGREGATE(9,6,AI333,AI334,AI338,AI339)</f>
        <v>9.4994420096606941E-2</v>
      </c>
      <c r="AJ343" s="44"/>
      <c r="AK343" s="85" t="s">
        <v>113</v>
      </c>
      <c r="AL343" s="100"/>
      <c r="AM343" s="252" t="s">
        <v>203</v>
      </c>
      <c r="AN343" s="44"/>
      <c r="AO343" s="44"/>
      <c r="AP343" s="44"/>
      <c r="AQ343" s="44"/>
      <c r="AX343" s="56" t="s">
        <v>210</v>
      </c>
      <c r="BC343" s="483"/>
    </row>
    <row r="344" spans="1:55" x14ac:dyDescent="0.25">
      <c r="A344" s="302"/>
      <c r="E344" s="97" t="s">
        <v>240</v>
      </c>
      <c r="F344" s="85" t="s">
        <v>10</v>
      </c>
      <c r="G344" s="176">
        <f>_xlfn.AGGREGATE(9,6,G335,G336,G340,G341)</f>
        <v>1.9454238799324539</v>
      </c>
      <c r="H344" s="44"/>
      <c r="I344" s="85" t="s">
        <v>114</v>
      </c>
      <c r="J344" s="100"/>
      <c r="K344" s="252" t="s">
        <v>203</v>
      </c>
      <c r="L344" s="85"/>
      <c r="M344" s="85"/>
      <c r="N344" s="85"/>
      <c r="O344" s="44"/>
      <c r="V344" s="56" t="s">
        <v>210</v>
      </c>
      <c r="AA344" s="302"/>
      <c r="AC344" s="483"/>
      <c r="AG344" s="97" t="s">
        <v>240</v>
      </c>
      <c r="AH344" s="85" t="s">
        <v>10</v>
      </c>
      <c r="AI344" s="176">
        <f>_xlfn.AGGREGATE(9,6,AI335,AI336,AI340,AI341)</f>
        <v>1.4520888306512116</v>
      </c>
      <c r="AJ344" s="44"/>
      <c r="AK344" s="85" t="s">
        <v>114</v>
      </c>
      <c r="AL344" s="100"/>
      <c r="AM344" s="252" t="s">
        <v>203</v>
      </c>
      <c r="AN344" s="85"/>
      <c r="AO344" s="85"/>
      <c r="AP344" s="85"/>
      <c r="AQ344" s="44"/>
      <c r="AX344" s="56" t="s">
        <v>210</v>
      </c>
      <c r="BC344" s="483"/>
    </row>
    <row r="345" spans="1:55" x14ac:dyDescent="0.25">
      <c r="A345" s="302"/>
      <c r="E345" s="97"/>
      <c r="F345" s="85"/>
      <c r="G345" s="85"/>
      <c r="H345" s="44"/>
      <c r="I345" s="85"/>
      <c r="J345" s="100"/>
      <c r="K345" s="252" t="s">
        <v>203</v>
      </c>
      <c r="L345" s="44"/>
      <c r="M345" s="44"/>
      <c r="N345" s="85"/>
      <c r="O345" s="44"/>
      <c r="V345" s="56" t="s">
        <v>210</v>
      </c>
      <c r="AA345" s="302"/>
      <c r="AC345" s="483"/>
      <c r="AG345" s="97"/>
      <c r="AH345" s="85"/>
      <c r="AI345" s="85"/>
      <c r="AJ345" s="44"/>
      <c r="AK345" s="85"/>
      <c r="AL345" s="100"/>
      <c r="AM345" s="252" t="s">
        <v>203</v>
      </c>
      <c r="AN345" s="44"/>
      <c r="AO345" s="44"/>
      <c r="AP345" s="85"/>
      <c r="AQ345" s="44"/>
      <c r="AX345" s="56" t="s">
        <v>210</v>
      </c>
      <c r="BC345" s="483"/>
    </row>
    <row r="346" spans="1:55" x14ac:dyDescent="0.25">
      <c r="A346" s="302"/>
      <c r="E346" s="97" t="s">
        <v>91</v>
      </c>
      <c r="F346" s="85"/>
      <c r="G346" s="85"/>
      <c r="H346" s="44"/>
      <c r="I346" s="85"/>
      <c r="J346" s="85"/>
      <c r="K346" s="251" t="s">
        <v>203</v>
      </c>
      <c r="L346" s="99"/>
      <c r="M346" s="85"/>
      <c r="N346" s="85"/>
      <c r="O346" s="44"/>
      <c r="V346" s="56" t="s">
        <v>210</v>
      </c>
      <c r="AA346" s="302"/>
      <c r="AC346" s="483"/>
      <c r="AG346" s="97" t="s">
        <v>91</v>
      </c>
      <c r="AH346" s="85"/>
      <c r="AI346" s="85"/>
      <c r="AJ346" s="44"/>
      <c r="AK346" s="85"/>
      <c r="AL346" s="85"/>
      <c r="AM346" s="251" t="s">
        <v>203</v>
      </c>
      <c r="AN346" s="99"/>
      <c r="AO346" s="85"/>
      <c r="AP346" s="85"/>
      <c r="AQ346" s="44"/>
      <c r="AX346" s="56" t="s">
        <v>210</v>
      </c>
      <c r="BC346" s="483"/>
    </row>
    <row r="347" spans="1:55" x14ac:dyDescent="0.25">
      <c r="A347" s="302"/>
      <c r="E347" s="97" t="s">
        <v>190</v>
      </c>
      <c r="F347" s="85" t="s">
        <v>13</v>
      </c>
      <c r="G347" s="176">
        <f>G327*(44/28)*$U$13</f>
        <v>41.032454527264697</v>
      </c>
      <c r="H347" s="44"/>
      <c r="I347" s="85" t="s">
        <v>173</v>
      </c>
      <c r="J347" s="85"/>
      <c r="K347" s="251" t="s">
        <v>203</v>
      </c>
      <c r="L347" s="85"/>
      <c r="M347" s="85"/>
      <c r="N347" s="85"/>
      <c r="O347" s="44"/>
      <c r="V347" s="56" t="s">
        <v>210</v>
      </c>
      <c r="AA347" s="302"/>
      <c r="AC347" s="483"/>
      <c r="AG347" s="97" t="s">
        <v>190</v>
      </c>
      <c r="AH347" s="85" t="s">
        <v>13</v>
      </c>
      <c r="AI347" s="176">
        <f>AI327*(44/28)*$U$13</f>
        <v>30.494568770630131</v>
      </c>
      <c r="AJ347" s="44"/>
      <c r="AK347" s="85" t="s">
        <v>173</v>
      </c>
      <c r="AL347" s="85"/>
      <c r="AM347" s="251" t="s">
        <v>203</v>
      </c>
      <c r="AN347" s="85"/>
      <c r="AO347" s="85"/>
      <c r="AP347" s="85"/>
      <c r="AQ347" s="44"/>
      <c r="AX347" s="56" t="s">
        <v>210</v>
      </c>
      <c r="BC347" s="483"/>
    </row>
    <row r="348" spans="1:55" x14ac:dyDescent="0.25">
      <c r="A348" s="302"/>
      <c r="E348" s="97" t="s">
        <v>189</v>
      </c>
      <c r="F348" s="85" t="s">
        <v>13</v>
      </c>
      <c r="G348" s="182">
        <f>G328*(44/28)*M326*$U$13</f>
        <v>0.21542038626813967</v>
      </c>
      <c r="H348" s="44"/>
      <c r="I348" s="85" t="s">
        <v>174</v>
      </c>
      <c r="J348" s="85"/>
      <c r="K348" s="251" t="s">
        <v>203</v>
      </c>
      <c r="L348" s="85"/>
      <c r="M348" s="85"/>
      <c r="N348" s="85"/>
      <c r="O348" s="44"/>
      <c r="V348" s="56" t="s">
        <v>210</v>
      </c>
      <c r="AA348" s="302"/>
      <c r="AC348" s="483"/>
      <c r="AG348" s="97" t="s">
        <v>189</v>
      </c>
      <c r="AH348" s="85" t="s">
        <v>13</v>
      </c>
      <c r="AI348" s="182">
        <f>AI328*(44/28)*AO326*$U$13</f>
        <v>0.1600964860458082</v>
      </c>
      <c r="AJ348" s="44"/>
      <c r="AK348" s="85" t="s">
        <v>174</v>
      </c>
      <c r="AL348" s="85"/>
      <c r="AM348" s="251" t="s">
        <v>203</v>
      </c>
      <c r="AN348" s="85"/>
      <c r="AO348" s="85"/>
      <c r="AP348" s="85"/>
      <c r="AQ348" s="44"/>
      <c r="AX348" s="56" t="s">
        <v>210</v>
      </c>
      <c r="BC348" s="483"/>
    </row>
    <row r="349" spans="1:55" x14ac:dyDescent="0.25">
      <c r="A349" s="302"/>
      <c r="E349" s="97" t="s">
        <v>198</v>
      </c>
      <c r="F349" s="85" t="s">
        <v>13</v>
      </c>
      <c r="G349" s="182">
        <f>G329*(44/28)*M328*$U$13</f>
        <v>0.27081419987994698</v>
      </c>
      <c r="H349" s="44"/>
      <c r="I349" s="85" t="s">
        <v>199</v>
      </c>
      <c r="J349" s="85"/>
      <c r="K349" s="251" t="s">
        <v>203</v>
      </c>
      <c r="L349" s="85"/>
      <c r="M349" s="85"/>
      <c r="N349" s="85"/>
      <c r="O349" s="44"/>
      <c r="V349" s="56" t="s">
        <v>210</v>
      </c>
      <c r="AA349" s="302"/>
      <c r="AC349" s="483"/>
      <c r="AG349" s="97" t="s">
        <v>198</v>
      </c>
      <c r="AH349" s="85" t="s">
        <v>13</v>
      </c>
      <c r="AI349" s="182">
        <f>AI329*(44/28)*AO328*$U$13</f>
        <v>0.20126415388615887</v>
      </c>
      <c r="AJ349" s="44"/>
      <c r="AK349" s="85" t="s">
        <v>199</v>
      </c>
      <c r="AL349" s="85"/>
      <c r="AM349" s="251" t="s">
        <v>203</v>
      </c>
      <c r="AN349" s="85"/>
      <c r="AO349" s="85"/>
      <c r="AP349" s="85"/>
      <c r="AQ349" s="44"/>
      <c r="AX349" s="56" t="s">
        <v>210</v>
      </c>
      <c r="BC349" s="483"/>
    </row>
    <row r="350" spans="1:55" x14ac:dyDescent="0.25">
      <c r="A350" s="302"/>
      <c r="E350" s="66"/>
      <c r="F350" s="44"/>
      <c r="G350" s="44"/>
      <c r="H350" s="44"/>
      <c r="I350" s="44"/>
      <c r="J350" s="44"/>
      <c r="K350" s="251" t="s">
        <v>203</v>
      </c>
      <c r="L350" s="85"/>
      <c r="M350" s="85"/>
      <c r="N350" s="85"/>
      <c r="O350" s="44"/>
      <c r="V350" s="56" t="s">
        <v>210</v>
      </c>
      <c r="AA350" s="302"/>
      <c r="AC350" s="483"/>
      <c r="AG350" s="66"/>
      <c r="AH350" s="44"/>
      <c r="AI350" s="44"/>
      <c r="AJ350" s="44"/>
      <c r="AK350" s="44"/>
      <c r="AL350" s="44"/>
      <c r="AM350" s="251" t="s">
        <v>203</v>
      </c>
      <c r="AN350" s="85"/>
      <c r="AO350" s="85"/>
      <c r="AP350" s="85"/>
      <c r="AQ350" s="44"/>
      <c r="AX350" s="56" t="s">
        <v>210</v>
      </c>
      <c r="BC350" s="483"/>
    </row>
    <row r="351" spans="1:55" x14ac:dyDescent="0.25">
      <c r="A351" s="302"/>
      <c r="E351" s="97" t="s">
        <v>15</v>
      </c>
      <c r="F351" s="85"/>
      <c r="G351" s="85"/>
      <c r="H351" s="44"/>
      <c r="I351" s="85"/>
      <c r="J351" s="85"/>
      <c r="K351" s="65"/>
      <c r="L351" s="85"/>
      <c r="M351" s="85"/>
      <c r="N351" s="85"/>
      <c r="O351" s="44"/>
      <c r="V351" s="56" t="s">
        <v>210</v>
      </c>
      <c r="AA351" s="302"/>
      <c r="AC351" s="483"/>
      <c r="AG351" s="97" t="s">
        <v>15</v>
      </c>
      <c r="AH351" s="85"/>
      <c r="AI351" s="85"/>
      <c r="AJ351" s="44"/>
      <c r="AK351" s="85"/>
      <c r="AL351" s="85"/>
      <c r="AM351" s="65"/>
      <c r="AN351" s="85"/>
      <c r="AO351" s="85"/>
      <c r="AP351" s="85"/>
      <c r="AQ351" s="44"/>
      <c r="AX351" s="56" t="s">
        <v>210</v>
      </c>
      <c r="BC351" s="483"/>
    </row>
    <row r="352" spans="1:55" x14ac:dyDescent="0.25">
      <c r="A352" s="302"/>
      <c r="E352" s="96" t="s">
        <v>186</v>
      </c>
      <c r="F352" s="84" t="s">
        <v>13</v>
      </c>
      <c r="G352" s="182">
        <f>G343*(44/28)*$U$13</f>
        <v>56.435939720601716</v>
      </c>
      <c r="H352" s="44"/>
      <c r="I352" s="85" t="s">
        <v>175</v>
      </c>
      <c r="J352" s="85"/>
      <c r="K352" s="251" t="s">
        <v>203</v>
      </c>
      <c r="L352" s="85"/>
      <c r="M352" s="85"/>
      <c r="N352" s="85"/>
      <c r="O352" s="44"/>
      <c r="AA352" s="302"/>
      <c r="AC352" s="483"/>
      <c r="AG352" s="96" t="s">
        <v>186</v>
      </c>
      <c r="AH352" s="84" t="s">
        <v>13</v>
      </c>
      <c r="AI352" s="182">
        <f>AI343*(44/28)*$U$13</f>
        <v>40.752606221444374</v>
      </c>
      <c r="AJ352" s="44"/>
      <c r="AK352" s="85" t="s">
        <v>175</v>
      </c>
      <c r="AL352" s="85"/>
      <c r="AM352" s="251" t="s">
        <v>203</v>
      </c>
      <c r="AN352" s="85"/>
      <c r="AO352" s="85"/>
      <c r="AP352" s="85"/>
      <c r="AQ352" s="44"/>
      <c r="BC352" s="483"/>
    </row>
    <row r="353" spans="1:55" x14ac:dyDescent="0.25">
      <c r="A353" s="302"/>
      <c r="E353" s="96" t="s">
        <v>187</v>
      </c>
      <c r="F353" s="84" t="s">
        <v>13</v>
      </c>
      <c r="G353" s="182">
        <f>G344*(44/28)*M326*$U$13</f>
        <v>8.3458684449102272</v>
      </c>
      <c r="H353" s="44"/>
      <c r="I353" s="85" t="s">
        <v>176</v>
      </c>
      <c r="J353" s="85"/>
      <c r="K353" s="251" t="s">
        <v>203</v>
      </c>
      <c r="L353" s="195"/>
      <c r="M353" s="195"/>
      <c r="N353" s="195"/>
      <c r="AA353" s="302"/>
      <c r="AC353" s="483"/>
      <c r="AG353" s="96" t="s">
        <v>187</v>
      </c>
      <c r="AH353" s="84" t="s">
        <v>13</v>
      </c>
      <c r="AI353" s="182">
        <f>AI344*(44/28)*AO326*$U$13</f>
        <v>6.2294610834936988</v>
      </c>
      <c r="AJ353" s="44"/>
      <c r="AK353" s="85" t="s">
        <v>176</v>
      </c>
      <c r="AL353" s="85"/>
      <c r="AM353" s="251" t="s">
        <v>203</v>
      </c>
      <c r="AN353" s="195"/>
      <c r="AO353" s="195"/>
      <c r="AP353" s="195"/>
      <c r="BC353" s="483"/>
    </row>
    <row r="354" spans="1:55" x14ac:dyDescent="0.25">
      <c r="A354" s="302"/>
      <c r="E354" s="96"/>
      <c r="F354" s="84"/>
      <c r="G354" s="182"/>
      <c r="H354" s="44"/>
      <c r="I354" s="85"/>
      <c r="J354" s="85"/>
      <c r="K354" s="251" t="s">
        <v>203</v>
      </c>
      <c r="L354" s="195"/>
      <c r="M354" s="195"/>
      <c r="N354" s="195"/>
      <c r="AA354" s="302"/>
      <c r="AC354" s="483"/>
      <c r="AG354" s="96"/>
      <c r="AH354" s="84"/>
      <c r="AI354" s="182"/>
      <c r="AJ354" s="44"/>
      <c r="AK354" s="85"/>
      <c r="AL354" s="85"/>
      <c r="AM354" s="251" t="s">
        <v>203</v>
      </c>
      <c r="AN354" s="195"/>
      <c r="AO354" s="195"/>
      <c r="AP354" s="195"/>
      <c r="BC354" s="483"/>
    </row>
    <row r="355" spans="1:55" x14ac:dyDescent="0.25">
      <c r="A355" s="302"/>
      <c r="E355" s="97" t="s">
        <v>92</v>
      </c>
      <c r="F355" s="85"/>
      <c r="G355" s="85"/>
      <c r="H355" s="44"/>
      <c r="I355" s="85"/>
      <c r="J355" s="85"/>
      <c r="K355" s="251" t="s">
        <v>203</v>
      </c>
      <c r="L355" s="195"/>
      <c r="M355" s="195"/>
      <c r="N355" s="195"/>
      <c r="AA355" s="302"/>
      <c r="AC355" s="483"/>
      <c r="AG355" s="97" t="s">
        <v>92</v>
      </c>
      <c r="AH355" s="85"/>
      <c r="AI355" s="85"/>
      <c r="AJ355" s="44"/>
      <c r="AK355" s="85"/>
      <c r="AL355" s="85"/>
      <c r="AM355" s="251" t="s">
        <v>203</v>
      </c>
      <c r="AN355" s="195"/>
      <c r="AO355" s="195"/>
      <c r="AP355" s="195"/>
      <c r="BC355" s="483"/>
    </row>
    <row r="356" spans="1:55" x14ac:dyDescent="0.25">
      <c r="A356" s="302"/>
      <c r="E356" s="97" t="s">
        <v>191</v>
      </c>
      <c r="F356" s="84" t="s">
        <v>13</v>
      </c>
      <c r="G356" s="176">
        <f>G347+G352</f>
        <v>97.468394247866414</v>
      </c>
      <c r="H356" s="44"/>
      <c r="I356" s="85"/>
      <c r="J356" s="85"/>
      <c r="K356" s="251" t="s">
        <v>203</v>
      </c>
      <c r="L356" s="195"/>
      <c r="M356" s="195"/>
      <c r="N356" s="195"/>
      <c r="AA356" s="302"/>
      <c r="AC356" s="483"/>
      <c r="AG356" s="97" t="s">
        <v>191</v>
      </c>
      <c r="AH356" s="84" t="s">
        <v>13</v>
      </c>
      <c r="AI356" s="176">
        <f>AI347+AI352</f>
        <v>71.247174992074505</v>
      </c>
      <c r="AJ356" s="44"/>
      <c r="AK356" s="85"/>
      <c r="AL356" s="85"/>
      <c r="AM356" s="251" t="s">
        <v>203</v>
      </c>
      <c r="AN356" s="195"/>
      <c r="AO356" s="195"/>
      <c r="AP356" s="195"/>
      <c r="BC356" s="483"/>
    </row>
    <row r="357" spans="1:55" x14ac:dyDescent="0.25">
      <c r="A357" s="302"/>
      <c r="E357" s="97" t="s">
        <v>192</v>
      </c>
      <c r="F357" s="84" t="s">
        <v>13</v>
      </c>
      <c r="G357" s="176">
        <f>G348+G349+G353</f>
        <v>8.8321030310583133</v>
      </c>
      <c r="H357" s="44"/>
      <c r="I357" s="85"/>
      <c r="J357" s="85"/>
      <c r="K357" s="251" t="s">
        <v>203</v>
      </c>
      <c r="L357" s="195"/>
      <c r="M357" s="195"/>
      <c r="N357" s="195"/>
      <c r="AA357" s="302"/>
      <c r="AC357" s="483"/>
      <c r="AG357" s="97" t="s">
        <v>192</v>
      </c>
      <c r="AH357" s="84" t="s">
        <v>13</v>
      </c>
      <c r="AI357" s="176">
        <f>AI348+AI349+AI353</f>
        <v>6.5908217234256661</v>
      </c>
      <c r="AJ357" s="44"/>
      <c r="AK357" s="85"/>
      <c r="AL357" s="85"/>
      <c r="AM357" s="251" t="s">
        <v>203</v>
      </c>
      <c r="AN357" s="195"/>
      <c r="AO357" s="195"/>
      <c r="AP357" s="195"/>
      <c r="BC357" s="483"/>
    </row>
    <row r="358" spans="1:55" x14ac:dyDescent="0.25">
      <c r="A358" s="302"/>
      <c r="E358" s="115"/>
      <c r="F358" s="24"/>
      <c r="G358" s="24"/>
      <c r="H358" s="24"/>
      <c r="I358" s="24"/>
      <c r="J358" s="24"/>
      <c r="K358" s="253" t="s">
        <v>203</v>
      </c>
      <c r="L358" s="195"/>
      <c r="M358" s="195"/>
      <c r="N358" s="195"/>
      <c r="AA358" s="302"/>
      <c r="AC358" s="483"/>
      <c r="AG358" s="115"/>
      <c r="AH358" s="24"/>
      <c r="AI358" s="24"/>
      <c r="AJ358" s="24"/>
      <c r="AK358" s="24"/>
      <c r="AL358" s="24"/>
      <c r="AM358" s="253" t="s">
        <v>203</v>
      </c>
      <c r="AN358" s="195"/>
      <c r="AO358" s="195"/>
      <c r="AP358" s="195"/>
      <c r="BC358" s="483"/>
    </row>
    <row r="360" spans="1:55" x14ac:dyDescent="0.25">
      <c r="A360" s="302"/>
      <c r="B360" s="562" t="str">
        <f>'CH4_Gylle_Stald&amp;Lager'!V256</f>
        <v>Malkekøer, tung race Tyrekalve 0-1 mdr. -tt01</v>
      </c>
      <c r="C360" s="195"/>
      <c r="K360" s="207" t="s">
        <v>203</v>
      </c>
      <c r="L360" s="195"/>
      <c r="M360" s="195"/>
      <c r="N360" s="195"/>
      <c r="Q360" s="577" t="str">
        <f>B360</f>
        <v>Malkekøer, tung race Tyrekalve 0-1 mdr. -tt01</v>
      </c>
      <c r="R360" s="139"/>
      <c r="S360" s="139"/>
      <c r="T360" s="139"/>
      <c r="U360" s="139"/>
      <c r="V360" s="139" t="s">
        <v>210</v>
      </c>
      <c r="W360" s="139"/>
      <c r="X360" s="139"/>
      <c r="Y360" s="139"/>
      <c r="Z360" s="139"/>
      <c r="AA360" s="302"/>
      <c r="AC360" s="483"/>
      <c r="AD360" s="562" t="str">
        <f>'CH4_Gylle_Stald&amp;Lager'!AH256</f>
        <v>Malkekøer, jersey Tyrekalve 0-1 mdr. -jt01</v>
      </c>
      <c r="AE360" s="195"/>
      <c r="AM360" s="207" t="s">
        <v>203</v>
      </c>
      <c r="AN360" s="195"/>
      <c r="AO360" s="195"/>
      <c r="AP360" s="195"/>
      <c r="AS360" s="678" t="str">
        <f>AD360</f>
        <v>Malkekøer, jersey Tyrekalve 0-1 mdr. -jt01</v>
      </c>
      <c r="AT360" s="139"/>
      <c r="AU360" s="139"/>
      <c r="AV360" s="139"/>
      <c r="AW360" s="139"/>
      <c r="AX360" s="139" t="s">
        <v>210</v>
      </c>
      <c r="AY360" s="139"/>
      <c r="AZ360" s="139"/>
      <c r="BA360" s="139"/>
      <c r="BB360" s="139"/>
      <c r="BC360" s="483"/>
    </row>
    <row r="361" spans="1:55" x14ac:dyDescent="0.25">
      <c r="A361" s="302"/>
      <c r="B361" s="135" t="s">
        <v>93</v>
      </c>
      <c r="C361" s="567"/>
      <c r="E361" s="104"/>
      <c r="F361" s="674"/>
      <c r="G361" s="111"/>
      <c r="H361" s="111"/>
      <c r="I361" s="111"/>
      <c r="J361" s="111"/>
      <c r="K361" s="248" t="s">
        <v>203</v>
      </c>
      <c r="L361" s="178"/>
      <c r="M361" s="178" t="s">
        <v>23</v>
      </c>
      <c r="N361" s="200" t="s">
        <v>27</v>
      </c>
      <c r="Q361" s="103"/>
      <c r="R361" s="191"/>
      <c r="S361" s="191"/>
      <c r="T361" s="191"/>
      <c r="U361" s="297"/>
      <c r="V361" s="298" t="s">
        <v>210</v>
      </c>
      <c r="W361" s="178"/>
      <c r="X361" s="178" t="s">
        <v>23</v>
      </c>
      <c r="Y361" s="200" t="s">
        <v>27</v>
      </c>
      <c r="Z361" s="139"/>
      <c r="AA361" s="302"/>
      <c r="AC361" s="483"/>
      <c r="AD361" s="135" t="s">
        <v>93</v>
      </c>
      <c r="AE361" s="567"/>
      <c r="AG361" s="104"/>
      <c r="AH361" s="674"/>
      <c r="AI361" s="111"/>
      <c r="AJ361" s="111"/>
      <c r="AK361" s="111"/>
      <c r="AL361" s="111"/>
      <c r="AM361" s="248" t="s">
        <v>203</v>
      </c>
      <c r="AN361" s="178"/>
      <c r="AO361" s="178" t="s">
        <v>23</v>
      </c>
      <c r="AP361" s="200" t="s">
        <v>27</v>
      </c>
      <c r="AS361" s="103"/>
      <c r="AT361" s="191"/>
      <c r="AU361" s="191"/>
      <c r="AV361" s="191"/>
      <c r="AW361" s="297"/>
      <c r="AX361" s="298" t="s">
        <v>210</v>
      </c>
      <c r="AY361" s="178"/>
      <c r="AZ361" s="178" t="s">
        <v>23</v>
      </c>
      <c r="BA361" s="200" t="s">
        <v>27</v>
      </c>
      <c r="BB361" s="139"/>
      <c r="BC361" s="483"/>
    </row>
    <row r="362" spans="1:55" x14ac:dyDescent="0.25">
      <c r="A362" s="302"/>
      <c r="B362" s="136" t="s">
        <v>81</v>
      </c>
      <c r="C362" s="575">
        <f>'CH4_Gylle_Stald&amp;Lager'!X259</f>
        <v>0</v>
      </c>
      <c r="E362" s="105" t="s">
        <v>231</v>
      </c>
      <c r="F362" s="123"/>
      <c r="G362" s="123"/>
      <c r="H362" s="123"/>
      <c r="I362" s="123"/>
      <c r="J362" s="123"/>
      <c r="K362" s="249" t="s">
        <v>203</v>
      </c>
      <c r="L362" s="175" t="s">
        <v>236</v>
      </c>
      <c r="M362" s="44"/>
      <c r="N362" s="65"/>
      <c r="Q362" s="255" t="s">
        <v>241</v>
      </c>
      <c r="R362" s="675">
        <f>F361</f>
        <v>0</v>
      </c>
      <c r="S362" s="192"/>
      <c r="T362" s="192"/>
      <c r="U362" s="192"/>
      <c r="V362" s="243"/>
      <c r="W362" s="175" t="s">
        <v>361</v>
      </c>
      <c r="X362" s="85"/>
      <c r="Y362" s="186"/>
      <c r="Z362" s="139"/>
      <c r="AA362" s="302"/>
      <c r="AC362" s="483"/>
      <c r="AD362" s="136" t="s">
        <v>81</v>
      </c>
      <c r="AE362" s="575">
        <f>'CH4_Gylle_Stald&amp;Lager'!AJ259</f>
        <v>0</v>
      </c>
      <c r="AG362" s="105" t="s">
        <v>231</v>
      </c>
      <c r="AH362" s="123"/>
      <c r="AI362" s="123"/>
      <c r="AJ362" s="123"/>
      <c r="AK362" s="123"/>
      <c r="AL362" s="123"/>
      <c r="AM362" s="249" t="s">
        <v>203</v>
      </c>
      <c r="AN362" s="175" t="s">
        <v>236</v>
      </c>
      <c r="AO362" s="44"/>
      <c r="AP362" s="65"/>
      <c r="AS362" s="255" t="s">
        <v>241</v>
      </c>
      <c r="AT362" s="675">
        <f>AH361</f>
        <v>0</v>
      </c>
      <c r="AU362" s="192"/>
      <c r="AV362" s="192"/>
      <c r="AW362" s="192"/>
      <c r="AX362" s="243"/>
      <c r="AY362" s="175" t="s">
        <v>361</v>
      </c>
      <c r="AZ362" s="85"/>
      <c r="BA362" s="186"/>
      <c r="BB362" s="139"/>
      <c r="BC362" s="483"/>
    </row>
    <row r="363" spans="1:55" x14ac:dyDescent="0.25">
      <c r="A363" s="302"/>
      <c r="B363" s="137" t="s">
        <v>82</v>
      </c>
      <c r="C363" s="576">
        <f>'CH4_Gylle_Stald&amp;Lager'!X260</f>
        <v>0</v>
      </c>
      <c r="E363" s="106"/>
      <c r="F363" s="676" t="s">
        <v>26</v>
      </c>
      <c r="G363" s="112"/>
      <c r="H363" s="112"/>
      <c r="I363" s="112"/>
      <c r="J363" s="112"/>
      <c r="K363" s="250" t="s">
        <v>203</v>
      </c>
      <c r="L363" s="44" t="s">
        <v>170</v>
      </c>
      <c r="M363" s="44">
        <f>INDEX($E$4:$N$19,MATCH(F362,$E$4:$E$19, 0),3)</f>
        <v>0</v>
      </c>
      <c r="N363" s="65">
        <f>INDEX($E$4:$N$19,MATCH(F362,$E$4:$E$19, 0),4)</f>
        <v>0</v>
      </c>
      <c r="Q363" s="255" t="s">
        <v>242</v>
      </c>
      <c r="R363" s="675" t="str">
        <f>F363</f>
        <v>Dybstrøelse (hele arealet)</v>
      </c>
      <c r="S363" s="192"/>
      <c r="T363" s="192"/>
      <c r="U363" s="192"/>
      <c r="V363" s="243"/>
      <c r="W363" s="44" t="s">
        <v>170</v>
      </c>
      <c r="X363" s="44">
        <f>INDEX($E$22:$N$24,MATCH(R364,$E$22:$E$24, 0),3)</f>
        <v>0</v>
      </c>
      <c r="Y363" s="65">
        <f>INDEX($E$22:$N$24,MATCH(R364,$E$22:$E$24, 0),4)</f>
        <v>0</v>
      </c>
      <c r="Z363" s="139"/>
      <c r="AA363" s="302"/>
      <c r="AC363" s="483"/>
      <c r="AD363" s="137" t="s">
        <v>82</v>
      </c>
      <c r="AE363" s="576">
        <f>'CH4_Gylle_Stald&amp;Lager'!AJ260</f>
        <v>0</v>
      </c>
      <c r="AG363" s="106"/>
      <c r="AH363" s="676" t="s">
        <v>26</v>
      </c>
      <c r="AI363" s="112"/>
      <c r="AJ363" s="112"/>
      <c r="AK363" s="112"/>
      <c r="AL363" s="112"/>
      <c r="AM363" s="250" t="s">
        <v>203</v>
      </c>
      <c r="AN363" s="44" t="s">
        <v>170</v>
      </c>
      <c r="AO363" s="44">
        <f>INDEX($E$4:$N$19,MATCH(AH362,$E$4:$E$19, 0),3)</f>
        <v>0</v>
      </c>
      <c r="AP363" s="65">
        <f>INDEX($E$4:$N$19,MATCH(AH362,$E$4:$E$19, 0),4)</f>
        <v>0</v>
      </c>
      <c r="AS363" s="255" t="s">
        <v>242</v>
      </c>
      <c r="AT363" s="675" t="str">
        <f>AH363</f>
        <v>Dybstrøelse (hele arealet)</v>
      </c>
      <c r="AU363" s="192"/>
      <c r="AV363" s="192"/>
      <c r="AW363" s="192"/>
      <c r="AX363" s="243"/>
      <c r="AY363" s="44" t="s">
        <v>170</v>
      </c>
      <c r="AZ363" s="44">
        <f>INDEX($E$22:$N$24,MATCH(AT364,$E$22:$E$24, 0),3)</f>
        <v>0</v>
      </c>
      <c r="BA363" s="65">
        <f>INDEX($E$22:$N$24,MATCH(AT364,$E$22:$E$24, 0),4)</f>
        <v>0</v>
      </c>
      <c r="BB363" s="139"/>
      <c r="BC363" s="483"/>
    </row>
    <row r="364" spans="1:55" x14ac:dyDescent="0.25">
      <c r="A364" s="303"/>
      <c r="B364" s="138"/>
      <c r="C364" s="568"/>
      <c r="E364" s="43"/>
      <c r="F364" s="294" t="s">
        <v>5</v>
      </c>
      <c r="G364" s="295" t="s">
        <v>6</v>
      </c>
      <c r="H364" s="296" t="s">
        <v>356</v>
      </c>
      <c r="I364" s="44"/>
      <c r="J364" s="44"/>
      <c r="K364" s="251" t="s">
        <v>203</v>
      </c>
      <c r="L364" s="44" t="s">
        <v>2</v>
      </c>
      <c r="M364" s="44"/>
      <c r="N364" s="65">
        <f>INDEX($E$4:$N$19,MATCH(F362,$E$4:$E$19, 0),7)</f>
        <v>0</v>
      </c>
      <c r="Q364" s="255" t="s">
        <v>360</v>
      </c>
      <c r="R364" s="675"/>
      <c r="S364" s="192"/>
      <c r="T364" s="192"/>
      <c r="U364" s="192"/>
      <c r="V364" s="243"/>
      <c r="W364" s="44" t="s">
        <v>1</v>
      </c>
      <c r="X364" s="44">
        <f>INDEX($E$22:$N$24,MATCH(R364,$E$22:$E$24, 0),6)</f>
        <v>0</v>
      </c>
      <c r="Y364" s="65"/>
      <c r="Z364" s="139"/>
      <c r="AA364" s="303"/>
      <c r="AC364" s="484"/>
      <c r="AD364" s="138"/>
      <c r="AE364" s="568"/>
      <c r="AG364" s="43"/>
      <c r="AH364" s="294" t="s">
        <v>5</v>
      </c>
      <c r="AI364" s="295" t="s">
        <v>6</v>
      </c>
      <c r="AJ364" s="296" t="s">
        <v>356</v>
      </c>
      <c r="AK364" s="44"/>
      <c r="AL364" s="44"/>
      <c r="AM364" s="251" t="s">
        <v>203</v>
      </c>
      <c r="AN364" s="44" t="s">
        <v>2</v>
      </c>
      <c r="AO364" s="44"/>
      <c r="AP364" s="65">
        <f>INDEX($E$4:$N$19,MATCH(AH362,$E$4:$E$19, 0),7)</f>
        <v>0</v>
      </c>
      <c r="AS364" s="255" t="s">
        <v>360</v>
      </c>
      <c r="AT364" s="675"/>
      <c r="AU364" s="192"/>
      <c r="AV364" s="192"/>
      <c r="AW364" s="192"/>
      <c r="AX364" s="243"/>
      <c r="AY364" s="44" t="s">
        <v>1</v>
      </c>
      <c r="AZ364" s="44">
        <f>INDEX($E$22:$N$24,MATCH(AT364,$E$22:$E$24, 0),6)</f>
        <v>0</v>
      </c>
      <c r="BA364" s="65"/>
      <c r="BB364" s="139"/>
      <c r="BC364" s="484"/>
    </row>
    <row r="365" spans="1:55" x14ac:dyDescent="0.25">
      <c r="A365" s="303"/>
      <c r="B365" s="229" t="s">
        <v>221</v>
      </c>
      <c r="C365" s="569"/>
      <c r="E365" s="66" t="s">
        <v>101</v>
      </c>
      <c r="F365" s="305">
        <f>INDEX(Normtal!$Q$3:$AC$551,MATCH(B360,Normtal!$Q$3:$Q$551,0),3)</f>
        <v>1.1296043835616438</v>
      </c>
      <c r="G365" s="281"/>
      <c r="H365" s="285">
        <f>INDEX(Normtal!$Q$3:$AC$551,MATCH(B360,Normtal!$Q$3:$Q$551,0),4)</f>
        <v>0.72617424657534246</v>
      </c>
      <c r="I365" s="85"/>
      <c r="J365" s="44"/>
      <c r="K365" s="251" t="s">
        <v>203</v>
      </c>
      <c r="L365" s="44" t="s">
        <v>1</v>
      </c>
      <c r="M365" s="44">
        <f>INDEX($E$4:$N$19,MATCH(F362,$E$4:$E$19, 0),6)</f>
        <v>0</v>
      </c>
      <c r="N365" s="65"/>
      <c r="Q365" s="299" t="s">
        <v>359</v>
      </c>
      <c r="R365" s="676" t="s">
        <v>135</v>
      </c>
      <c r="S365" s="194"/>
      <c r="T365" s="194"/>
      <c r="U365" s="194"/>
      <c r="V365" s="241"/>
      <c r="W365" s="44" t="s">
        <v>2</v>
      </c>
      <c r="X365" s="44"/>
      <c r="Y365" s="65">
        <f>INDEX($E$22:$N$24,MATCH(R364,$E$22:$E$24, 0),7)</f>
        <v>0</v>
      </c>
      <c r="Z365" s="139"/>
      <c r="AA365" s="303"/>
      <c r="AC365" s="484"/>
      <c r="AD365" s="229" t="s">
        <v>221</v>
      </c>
      <c r="AE365" s="569"/>
      <c r="AG365" s="66" t="s">
        <v>101</v>
      </c>
      <c r="AH365" s="305">
        <f>INDEX(Normtal!$Q$3:$AC$551,MATCH(AD360,Normtal!$Q$3:$Q$551,0),3)</f>
        <v>1.0233543656884874</v>
      </c>
      <c r="AI365" s="281"/>
      <c r="AJ365" s="285">
        <f>INDEX(Normtal!$Q$3:$AC$551,MATCH(AD360,Normtal!$Q$3:$Q$551,0),4)</f>
        <v>0.67473914221218956</v>
      </c>
      <c r="AK365" s="85"/>
      <c r="AL365" s="44"/>
      <c r="AM365" s="251" t="s">
        <v>203</v>
      </c>
      <c r="AN365" s="44" t="s">
        <v>1</v>
      </c>
      <c r="AO365" s="44">
        <f>INDEX($E$4:$N$19,MATCH(AH362,$E$4:$E$19, 0),6)</f>
        <v>0</v>
      </c>
      <c r="AP365" s="65"/>
      <c r="AS365" s="299" t="s">
        <v>359</v>
      </c>
      <c r="AT365" s="676" t="s">
        <v>135</v>
      </c>
      <c r="AU365" s="194"/>
      <c r="AV365" s="194"/>
      <c r="AW365" s="194"/>
      <c r="AX365" s="241"/>
      <c r="AY365" s="44" t="s">
        <v>2</v>
      </c>
      <c r="AZ365" s="44"/>
      <c r="BA365" s="65">
        <f>INDEX($E$22:$N$24,MATCH(AT364,$E$22:$E$24, 0),7)</f>
        <v>0</v>
      </c>
      <c r="BB365" s="139"/>
      <c r="BC365" s="484"/>
    </row>
    <row r="366" spans="1:55" x14ac:dyDescent="0.25">
      <c r="A366" s="303"/>
      <c r="B366" s="231" t="s">
        <v>224</v>
      </c>
      <c r="C366" s="574">
        <f>'CH4_Gylle_Stald&amp;Lager'!X263</f>
        <v>0</v>
      </c>
      <c r="E366" s="66" t="s">
        <v>103</v>
      </c>
      <c r="F366" s="305">
        <f>F365*(C362/365)*(C363/24)</f>
        <v>0</v>
      </c>
      <c r="G366" s="281"/>
      <c r="H366" s="285">
        <f>H365*(C362/365)*(C363/24)</f>
        <v>0</v>
      </c>
      <c r="I366" s="44" t="s">
        <v>357</v>
      </c>
      <c r="J366" s="44"/>
      <c r="K366" s="251" t="s">
        <v>203</v>
      </c>
      <c r="L366" s="175" t="s">
        <v>237</v>
      </c>
      <c r="M366" s="44"/>
      <c r="N366" s="65"/>
      <c r="Q366" s="118"/>
      <c r="R366" s="119"/>
      <c r="S366" s="119"/>
      <c r="T366" s="119"/>
      <c r="U366" s="119"/>
      <c r="V366" s="124"/>
      <c r="W366" s="56" t="s">
        <v>177</v>
      </c>
      <c r="X366" s="310">
        <f>$J$26</f>
        <v>0.5</v>
      </c>
      <c r="Z366" s="139"/>
      <c r="AA366" s="303"/>
      <c r="AC366" s="484"/>
      <c r="AD366" s="231" t="s">
        <v>224</v>
      </c>
      <c r="AE366" s="574">
        <f>'CH4_Gylle_Stald&amp;Lager'!AJ263</f>
        <v>0</v>
      </c>
      <c r="AG366" s="66" t="s">
        <v>103</v>
      </c>
      <c r="AH366" s="305">
        <f>AH365*(AE362/365)*(AE363/24)</f>
        <v>0</v>
      </c>
      <c r="AI366" s="281"/>
      <c r="AJ366" s="285">
        <f>AJ365*(AE362/365)*(AE363/24)</f>
        <v>0</v>
      </c>
      <c r="AK366" s="44" t="s">
        <v>357</v>
      </c>
      <c r="AL366" s="44"/>
      <c r="AM366" s="251" t="s">
        <v>203</v>
      </c>
      <c r="AN366" s="175" t="s">
        <v>237</v>
      </c>
      <c r="AO366" s="44"/>
      <c r="AP366" s="65"/>
      <c r="AS366" s="118"/>
      <c r="AT366" s="119"/>
      <c r="AU366" s="119"/>
      <c r="AV366" s="119"/>
      <c r="AW366" s="119"/>
      <c r="AX366" s="124"/>
      <c r="AY366" s="56" t="s">
        <v>177</v>
      </c>
      <c r="AZ366" s="310">
        <f>$J$26</f>
        <v>0.5</v>
      </c>
      <c r="BB366" s="139"/>
      <c r="BC366" s="484"/>
    </row>
    <row r="367" spans="1:55" x14ac:dyDescent="0.25">
      <c r="A367" s="303"/>
      <c r="B367" s="233" t="s">
        <v>223</v>
      </c>
      <c r="C367" s="570">
        <f>(365-C362*C363/24)*C366</f>
        <v>0</v>
      </c>
      <c r="D367" s="254"/>
      <c r="E367" s="66" t="s">
        <v>104</v>
      </c>
      <c r="F367" s="306">
        <f>F365-F366</f>
        <v>1.1296043835616438</v>
      </c>
      <c r="G367" s="289"/>
      <c r="H367" s="287">
        <f>H365-H366</f>
        <v>0.72617424657534246</v>
      </c>
      <c r="I367" s="44" t="s">
        <v>358</v>
      </c>
      <c r="J367" s="44"/>
      <c r="K367" s="251" t="s">
        <v>203</v>
      </c>
      <c r="L367" s="99" t="s">
        <v>170</v>
      </c>
      <c r="M367" s="85">
        <f>INDEX($E$4:$N$19,MATCH(F363,$E$4:$E$19, 0),3)</f>
        <v>0</v>
      </c>
      <c r="N367" s="186">
        <f>INDEX($E$4:$N$19,MATCH(F363,$E$4:$E$19, 0),4)</f>
        <v>1</v>
      </c>
      <c r="Q367" s="96" t="s">
        <v>139</v>
      </c>
      <c r="R367" s="85"/>
      <c r="S367" s="85"/>
      <c r="T367" s="85"/>
      <c r="U367" s="85"/>
      <c r="V367" s="186" t="s">
        <v>210</v>
      </c>
      <c r="W367" s="175" t="s">
        <v>364</v>
      </c>
      <c r="X367" s="44"/>
      <c r="Y367" s="65"/>
      <c r="Z367" s="139"/>
      <c r="AA367" s="303"/>
      <c r="AC367" s="484"/>
      <c r="AD367" s="233" t="s">
        <v>223</v>
      </c>
      <c r="AE367" s="570">
        <f>(365-AE362*AE363/24)*AE366</f>
        <v>0</v>
      </c>
      <c r="AF367" s="254"/>
      <c r="AG367" s="66" t="s">
        <v>104</v>
      </c>
      <c r="AH367" s="306">
        <f>AH365-AH366</f>
        <v>1.0233543656884874</v>
      </c>
      <c r="AI367" s="289"/>
      <c r="AJ367" s="287">
        <f>AJ365-AJ366</f>
        <v>0.67473914221218956</v>
      </c>
      <c r="AK367" s="44" t="s">
        <v>358</v>
      </c>
      <c r="AL367" s="44"/>
      <c r="AM367" s="251" t="s">
        <v>203</v>
      </c>
      <c r="AN367" s="99" t="s">
        <v>170</v>
      </c>
      <c r="AO367" s="85">
        <f>INDEX($E$4:$N$19,MATCH(AH363,$E$4:$E$19, 0),3)</f>
        <v>0</v>
      </c>
      <c r="AP367" s="186">
        <f>INDEX($E$4:$N$19,MATCH(AH363,$E$4:$E$19, 0),4)</f>
        <v>1</v>
      </c>
      <c r="AS367" s="96" t="s">
        <v>139</v>
      </c>
      <c r="AT367" s="85"/>
      <c r="AU367" s="85"/>
      <c r="AV367" s="85"/>
      <c r="AW367" s="85"/>
      <c r="AX367" s="186" t="s">
        <v>210</v>
      </c>
      <c r="AY367" s="175" t="s">
        <v>364</v>
      </c>
      <c r="AZ367" s="44"/>
      <c r="BA367" s="65"/>
      <c r="BB367" s="139"/>
      <c r="BC367" s="484"/>
    </row>
    <row r="368" spans="1:55" x14ac:dyDescent="0.25">
      <c r="A368" s="303"/>
      <c r="B368" s="231" t="s">
        <v>222</v>
      </c>
      <c r="C368" s="573"/>
      <c r="E368" s="66"/>
      <c r="F368" s="677"/>
      <c r="G368" s="221"/>
      <c r="H368" s="291"/>
      <c r="I368" s="44"/>
      <c r="J368" s="44"/>
      <c r="K368" s="65"/>
      <c r="L368" s="85" t="s">
        <v>2</v>
      </c>
      <c r="M368" s="85"/>
      <c r="N368" s="186">
        <f>INDEX($E$4:$N$19,MATCH(F363,$E$4:$E$19, 0),7)</f>
        <v>6</v>
      </c>
      <c r="Q368" s="66"/>
      <c r="R368" s="44"/>
      <c r="S368" s="44"/>
      <c r="T368" s="85"/>
      <c r="U368" s="85"/>
      <c r="V368" s="186" t="s">
        <v>210</v>
      </c>
      <c r="W368" s="99" t="s">
        <v>170</v>
      </c>
      <c r="X368" s="85">
        <f>INDEX($E$22:$N$24,MATCH(R365,$E$22:$E$24, 0),3)</f>
        <v>0</v>
      </c>
      <c r="Y368" s="186">
        <f>INDEX($E$22:$N$24,MATCH(R365,$E$22:$E$24, 0),4)</f>
        <v>1</v>
      </c>
      <c r="Z368" s="139"/>
      <c r="AA368" s="303"/>
      <c r="AC368" s="484"/>
      <c r="AD368" s="231" t="s">
        <v>222</v>
      </c>
      <c r="AE368" s="573"/>
      <c r="AG368" s="66"/>
      <c r="AH368" s="677"/>
      <c r="AI368" s="221"/>
      <c r="AJ368" s="291"/>
      <c r="AK368" s="44"/>
      <c r="AL368" s="44"/>
      <c r="AM368" s="65"/>
      <c r="AN368" s="85" t="s">
        <v>2</v>
      </c>
      <c r="AO368" s="85"/>
      <c r="AP368" s="186">
        <f>INDEX($E$4:$N$19,MATCH(AH363,$E$4:$E$19, 0),7)</f>
        <v>6</v>
      </c>
      <c r="AS368" s="66"/>
      <c r="AT368" s="44"/>
      <c r="AU368" s="44"/>
      <c r="AV368" s="85"/>
      <c r="AW368" s="85"/>
      <c r="AX368" s="186" t="s">
        <v>210</v>
      </c>
      <c r="AY368" s="99" t="s">
        <v>170</v>
      </c>
      <c r="AZ368" s="85">
        <f>INDEX($E$22:$N$24,MATCH(AT365,$E$22:$E$24, 0),3)</f>
        <v>0</v>
      </c>
      <c r="BA368" s="186">
        <f>INDEX($E$22:$N$24,MATCH(AT365,$E$22:$E$24, 0),4)</f>
        <v>1</v>
      </c>
      <c r="BB368" s="139"/>
      <c r="BC368" s="484"/>
    </row>
    <row r="369" spans="1:55" x14ac:dyDescent="0.25">
      <c r="A369" s="303"/>
      <c r="B369" s="231" t="s">
        <v>224</v>
      </c>
      <c r="C369" s="571">
        <f>1-C366</f>
        <v>1</v>
      </c>
      <c r="E369" s="66" t="s">
        <v>232</v>
      </c>
      <c r="F369" s="305">
        <f>F367*C366*1</f>
        <v>0</v>
      </c>
      <c r="G369" s="281"/>
      <c r="H369" s="286"/>
      <c r="I369" s="246" t="str">
        <f>INDEX($E$4:$N$19,MATCH(F363,$E$4:$E$19, 0),2)</f>
        <v>100 % dybstrøelsessystem</v>
      </c>
      <c r="J369" s="246"/>
      <c r="K369" s="251" t="s">
        <v>203</v>
      </c>
      <c r="L369" s="99" t="s">
        <v>1</v>
      </c>
      <c r="M369" s="85">
        <f>INDEX($E$4:$N$19,MATCH(F363,$E$4:$E$19, 0),6)</f>
        <v>0</v>
      </c>
      <c r="N369" s="65"/>
      <c r="Q369" s="211" t="s">
        <v>371</v>
      </c>
      <c r="R369" s="85" t="s">
        <v>10</v>
      </c>
      <c r="S369" s="176">
        <f>_xlfn.AGGREGATE(9,6, F369:G369)</f>
        <v>0</v>
      </c>
      <c r="T369" s="85"/>
      <c r="U369" s="44"/>
      <c r="V369" s="65"/>
      <c r="W369" s="99" t="s">
        <v>1</v>
      </c>
      <c r="X369" s="85">
        <f>INDEX($E$22:$N$24,MATCH(R365,$E$22:$E$24, 0),6)</f>
        <v>0</v>
      </c>
      <c r="Y369" s="186"/>
      <c r="Z369" s="139"/>
      <c r="AA369" s="303"/>
      <c r="AC369" s="484"/>
      <c r="AD369" s="231" t="s">
        <v>224</v>
      </c>
      <c r="AE369" s="571">
        <f>1-AE366</f>
        <v>1</v>
      </c>
      <c r="AG369" s="66" t="s">
        <v>232</v>
      </c>
      <c r="AH369" s="305">
        <f>AH367*AE366*1</f>
        <v>0</v>
      </c>
      <c r="AI369" s="281"/>
      <c r="AJ369" s="286"/>
      <c r="AK369" s="246" t="str">
        <f>INDEX($E$4:$N$19,MATCH(AH363,$E$4:$E$19, 0),2)</f>
        <v>100 % dybstrøelsessystem</v>
      </c>
      <c r="AL369" s="246"/>
      <c r="AM369" s="251" t="s">
        <v>203</v>
      </c>
      <c r="AN369" s="99" t="s">
        <v>1</v>
      </c>
      <c r="AO369" s="85">
        <f>INDEX($E$4:$N$19,MATCH(AH363,$E$4:$E$19, 0),6)</f>
        <v>0</v>
      </c>
      <c r="AP369" s="65"/>
      <c r="AS369" s="211" t="s">
        <v>371</v>
      </c>
      <c r="AT369" s="85" t="s">
        <v>10</v>
      </c>
      <c r="AU369" s="176">
        <f>_xlfn.AGGREGATE(9,6, AH369:AI369)</f>
        <v>0</v>
      </c>
      <c r="AV369" s="85"/>
      <c r="AW369" s="44"/>
      <c r="AX369" s="65"/>
      <c r="AY369" s="99" t="s">
        <v>1</v>
      </c>
      <c r="AZ369" s="85">
        <f>INDEX($E$22:$N$24,MATCH(AT365,$E$22:$E$24, 0),6)</f>
        <v>0</v>
      </c>
      <c r="BA369" s="186"/>
      <c r="BB369" s="139"/>
      <c r="BC369" s="484"/>
    </row>
    <row r="370" spans="1:55" x14ac:dyDescent="0.25">
      <c r="A370" s="302"/>
      <c r="B370" s="233" t="s">
        <v>81</v>
      </c>
      <c r="C370" s="570">
        <f>(365-C362*C363/24)*C369</f>
        <v>365</v>
      </c>
      <c r="E370" s="66" t="s">
        <v>102</v>
      </c>
      <c r="F370" s="305" t="e">
        <f>INDEX(Normtal!$Q$3:$AC$551,MATCH(F368,Normtal!$AA$3:$AA$551, 0),6)*C367/365</f>
        <v>#N/A</v>
      </c>
      <c r="G370" s="283"/>
      <c r="H370" s="286"/>
      <c r="I370" s="44"/>
      <c r="J370" s="44"/>
      <c r="K370" s="65"/>
      <c r="L370" s="175" t="s">
        <v>363</v>
      </c>
      <c r="M370" s="44"/>
      <c r="N370" s="65"/>
      <c r="Q370" s="211" t="s">
        <v>243</v>
      </c>
      <c r="R370" s="85" t="s">
        <v>10</v>
      </c>
      <c r="S370" s="176">
        <f>_xlfn.AGGREGATE(9,6, F370:G370)</f>
        <v>0</v>
      </c>
      <c r="T370" s="85"/>
      <c r="U370" s="85"/>
      <c r="V370" s="186" t="s">
        <v>210</v>
      </c>
      <c r="W370" s="85" t="s">
        <v>2</v>
      </c>
      <c r="X370" s="85"/>
      <c r="Y370" s="186">
        <f>INDEX($E$22:$N$24,MATCH(R365,$E$22:$E$24, 0),7)</f>
        <v>3</v>
      </c>
      <c r="Z370" s="139"/>
      <c r="AA370" s="302"/>
      <c r="AC370" s="483"/>
      <c r="AD370" s="233" t="s">
        <v>81</v>
      </c>
      <c r="AE370" s="570">
        <f>(365-AE362*AE363/24)*AE369</f>
        <v>365</v>
      </c>
      <c r="AG370" s="66" t="s">
        <v>102</v>
      </c>
      <c r="AH370" s="305" t="e">
        <f>INDEX(Normtal!$Q$3:$AC$551,MATCH(AH368,Normtal!$AA$3:$AA$551, 0),6)*AE367/365</f>
        <v>#N/A</v>
      </c>
      <c r="AI370" s="283"/>
      <c r="AJ370" s="286"/>
      <c r="AK370" s="44"/>
      <c r="AL370" s="44"/>
      <c r="AM370" s="65"/>
      <c r="AN370" s="175" t="s">
        <v>363</v>
      </c>
      <c r="AO370" s="44"/>
      <c r="AP370" s="65"/>
      <c r="AS370" s="211" t="s">
        <v>243</v>
      </c>
      <c r="AT370" s="85" t="s">
        <v>10</v>
      </c>
      <c r="AU370" s="176">
        <f>_xlfn.AGGREGATE(9,6, AH370:AI370)</f>
        <v>0</v>
      </c>
      <c r="AV370" s="85"/>
      <c r="AW370" s="85"/>
      <c r="AX370" s="186" t="s">
        <v>210</v>
      </c>
      <c r="AY370" s="85" t="s">
        <v>2</v>
      </c>
      <c r="AZ370" s="85"/>
      <c r="BA370" s="186">
        <f>INDEX($E$22:$N$24,MATCH(AT365,$E$22:$E$24, 0),7)</f>
        <v>3</v>
      </c>
      <c r="BB370" s="139"/>
      <c r="BC370" s="483"/>
    </row>
    <row r="371" spans="1:55" x14ac:dyDescent="0.25">
      <c r="A371" s="302"/>
      <c r="C371" s="195"/>
      <c r="E371" s="66" t="s">
        <v>235</v>
      </c>
      <c r="F371" s="307" t="e">
        <f>INDEX(Normtal!$Q$3:$AC$551,MATCH(F368,Normtal!$AA$3:$AA$551, 0),4)*C367/365</f>
        <v>#N/A</v>
      </c>
      <c r="G371" s="247"/>
      <c r="H371" s="285">
        <f>H367*C366</f>
        <v>0</v>
      </c>
      <c r="I371" s="44"/>
      <c r="J371" s="44"/>
      <c r="K371" s="251"/>
      <c r="L371" s="44" t="s">
        <v>362</v>
      </c>
      <c r="M371" s="44">
        <f>$J$26</f>
        <v>0.5</v>
      </c>
      <c r="N371" s="65"/>
      <c r="Q371" s="211" t="s">
        <v>365</v>
      </c>
      <c r="R371" s="85" t="s">
        <v>10</v>
      </c>
      <c r="S371" s="176">
        <f>-_xlfn.AGGREGATE(9,6,G387:G388)</f>
        <v>0</v>
      </c>
      <c r="T371" s="85"/>
      <c r="U371" s="85"/>
      <c r="V371" s="186" t="s">
        <v>210</v>
      </c>
      <c r="W371" s="86" t="s">
        <v>363</v>
      </c>
      <c r="X371" s="85"/>
      <c r="Y371" s="186"/>
      <c r="Z371" s="139"/>
      <c r="AA371" s="302"/>
      <c r="AC371" s="483"/>
      <c r="AE371" s="195"/>
      <c r="AG371" s="66" t="s">
        <v>235</v>
      </c>
      <c r="AH371" s="307" t="e">
        <f>INDEX(Normtal!$Q$3:$AC$551,MATCH(AH368,Normtal!$AA$3:$AA$551, 0),4)*AE367/365</f>
        <v>#N/A</v>
      </c>
      <c r="AI371" s="247"/>
      <c r="AJ371" s="285">
        <f>AJ367*AE366</f>
        <v>0</v>
      </c>
      <c r="AK371" s="44"/>
      <c r="AL371" s="44"/>
      <c r="AM371" s="251"/>
      <c r="AN371" s="44" t="s">
        <v>362</v>
      </c>
      <c r="AO371" s="44">
        <f>$J$26</f>
        <v>0.5</v>
      </c>
      <c r="AP371" s="65"/>
      <c r="AS371" s="211" t="s">
        <v>365</v>
      </c>
      <c r="AT371" s="85" t="s">
        <v>10</v>
      </c>
      <c r="AU371" s="176">
        <f>-_xlfn.AGGREGATE(9,6,AI387:AI388)</f>
        <v>0</v>
      </c>
      <c r="AV371" s="85"/>
      <c r="AW371" s="85"/>
      <c r="AX371" s="186" t="s">
        <v>210</v>
      </c>
      <c r="AY371" s="86" t="s">
        <v>363</v>
      </c>
      <c r="AZ371" s="85"/>
      <c r="BA371" s="186"/>
      <c r="BB371" s="139"/>
      <c r="BC371" s="483"/>
    </row>
    <row r="372" spans="1:55" ht="30" x14ac:dyDescent="0.25">
      <c r="A372" s="302"/>
      <c r="B372" s="257" t="s">
        <v>245</v>
      </c>
      <c r="C372" s="572">
        <f>'CH4_Gylle_Stald&amp;Lager'!X269</f>
        <v>0</v>
      </c>
      <c r="E372" s="66"/>
      <c r="F372" s="290"/>
      <c r="G372" s="290"/>
      <c r="H372" s="292"/>
      <c r="I372" s="44"/>
      <c r="J372" s="44"/>
      <c r="K372" s="251" t="s">
        <v>203</v>
      </c>
      <c r="L372" s="44" t="s">
        <v>171</v>
      </c>
      <c r="M372" s="44">
        <f>$J$27</f>
        <v>-0.5</v>
      </c>
      <c r="N372" s="65"/>
      <c r="Q372" s="211" t="s">
        <v>367</v>
      </c>
      <c r="R372" s="85" t="s">
        <v>10</v>
      </c>
      <c r="S372" s="176">
        <f>-_xlfn.AGGREGATE(9,6,G389,G390)</f>
        <v>0</v>
      </c>
      <c r="T372" s="85"/>
      <c r="U372" s="85"/>
      <c r="V372" s="186"/>
      <c r="W372" s="99" t="s">
        <v>171</v>
      </c>
      <c r="X372" s="85">
        <f>$J$27</f>
        <v>-0.5</v>
      </c>
      <c r="Y372" s="186"/>
      <c r="Z372" s="139"/>
      <c r="AA372" s="302"/>
      <c r="AC372" s="483"/>
      <c r="AD372" s="257" t="s">
        <v>245</v>
      </c>
      <c r="AE372" s="572">
        <f>'CH4_Gylle_Stald&amp;Lager'!AJ269</f>
        <v>0</v>
      </c>
      <c r="AG372" s="66"/>
      <c r="AH372" s="290"/>
      <c r="AI372" s="290"/>
      <c r="AJ372" s="292"/>
      <c r="AK372" s="44"/>
      <c r="AL372" s="44"/>
      <c r="AM372" s="251" t="s">
        <v>203</v>
      </c>
      <c r="AN372" s="44" t="s">
        <v>171</v>
      </c>
      <c r="AO372" s="44">
        <f>$J$27</f>
        <v>-0.5</v>
      </c>
      <c r="AP372" s="65"/>
      <c r="AS372" s="211" t="s">
        <v>367</v>
      </c>
      <c r="AT372" s="85" t="s">
        <v>10</v>
      </c>
      <c r="AU372" s="176">
        <f>-_xlfn.AGGREGATE(9,6,AI389,AI390)</f>
        <v>0</v>
      </c>
      <c r="AV372" s="85"/>
      <c r="AW372" s="85"/>
      <c r="AX372" s="186"/>
      <c r="AY372" s="99" t="s">
        <v>171</v>
      </c>
      <c r="AZ372" s="85">
        <f>$J$27</f>
        <v>-0.5</v>
      </c>
      <c r="BA372" s="186"/>
      <c r="BB372" s="139"/>
      <c r="BC372" s="483"/>
    </row>
    <row r="373" spans="1:55" x14ac:dyDescent="0.25">
      <c r="A373" s="302"/>
      <c r="E373" s="66"/>
      <c r="F373" s="677"/>
      <c r="G373" s="677" t="s">
        <v>299</v>
      </c>
      <c r="H373" s="284"/>
      <c r="I373" s="44" t="s">
        <v>203</v>
      </c>
      <c r="J373" s="44"/>
      <c r="K373" s="65"/>
      <c r="L373" s="293" t="s">
        <v>238</v>
      </c>
      <c r="M373" s="44"/>
      <c r="N373" s="65"/>
      <c r="Q373" s="455"/>
      <c r="R373" s="84"/>
      <c r="S373" s="94"/>
      <c r="T373" s="85"/>
      <c r="U373" s="85"/>
      <c r="V373" s="186" t="s">
        <v>210</v>
      </c>
      <c r="W373" s="85" t="s">
        <v>177</v>
      </c>
      <c r="X373" s="85">
        <f>$J$26</f>
        <v>0.5</v>
      </c>
      <c r="Y373" s="186"/>
      <c r="Z373" s="139"/>
      <c r="AA373" s="302"/>
      <c r="AC373" s="483"/>
      <c r="AG373" s="66"/>
      <c r="AH373" s="677"/>
      <c r="AI373" s="677" t="s">
        <v>608</v>
      </c>
      <c r="AJ373" s="284"/>
      <c r="AK373" s="44" t="s">
        <v>203</v>
      </c>
      <c r="AL373" s="44"/>
      <c r="AM373" s="65"/>
      <c r="AN373" s="293" t="s">
        <v>238</v>
      </c>
      <c r="AO373" s="44"/>
      <c r="AP373" s="65"/>
      <c r="AS373" s="455"/>
      <c r="AT373" s="84"/>
      <c r="AU373" s="94"/>
      <c r="AV373" s="85"/>
      <c r="AW373" s="85"/>
      <c r="AX373" s="186" t="s">
        <v>210</v>
      </c>
      <c r="AY373" s="85" t="s">
        <v>177</v>
      </c>
      <c r="AZ373" s="85">
        <f>$J$26</f>
        <v>0.5</v>
      </c>
      <c r="BA373" s="186"/>
      <c r="BB373" s="139"/>
      <c r="BC373" s="483"/>
    </row>
    <row r="374" spans="1:55" x14ac:dyDescent="0.25">
      <c r="A374" s="302"/>
      <c r="B374" s="77" t="s">
        <v>226</v>
      </c>
      <c r="C374" s="236">
        <f>C362*C363/24+C367+C370</f>
        <v>365</v>
      </c>
      <c r="E374" s="66" t="s">
        <v>233</v>
      </c>
      <c r="F374" s="305">
        <f>F367*C369*0</f>
        <v>0</v>
      </c>
      <c r="G374" s="308">
        <f>F367*C369*1</f>
        <v>1.1296043835616438</v>
      </c>
      <c r="H374" s="286"/>
      <c r="I374" s="246" t="str">
        <f>INDEX($E$4:$N$19,MATCH(F363,$E$4:$E$19, 0),2)</f>
        <v>100 % dybstrøelsessystem</v>
      </c>
      <c r="J374" s="246"/>
      <c r="K374" s="65"/>
      <c r="L374" s="85" t="s">
        <v>172</v>
      </c>
      <c r="M374" s="85">
        <f>INDEX($E$4:$N$19,MATCH(F361,$E$4:$E$19, 0),3)</f>
        <v>0</v>
      </c>
      <c r="N374" s="186"/>
      <c r="Q374" s="211" t="s">
        <v>372</v>
      </c>
      <c r="R374" s="44"/>
      <c r="S374" s="113">
        <f>_xlfn.AGGREGATE(9,6,F374:G374)</f>
        <v>1.1296043835616438</v>
      </c>
      <c r="T374" s="44"/>
      <c r="U374" s="44"/>
      <c r="V374" s="65"/>
      <c r="W374" s="44"/>
      <c r="X374" s="44"/>
      <c r="Y374" s="65"/>
      <c r="Z374" s="139"/>
      <c r="AA374" s="302"/>
      <c r="AC374" s="483"/>
      <c r="AD374" s="77" t="s">
        <v>226</v>
      </c>
      <c r="AE374" s="236">
        <f>AE362*AE363/24+AE367+AE370</f>
        <v>365</v>
      </c>
      <c r="AG374" s="66" t="s">
        <v>233</v>
      </c>
      <c r="AH374" s="305">
        <f>AH367*AE369*0</f>
        <v>0</v>
      </c>
      <c r="AI374" s="308">
        <f>AH367*AE369*1</f>
        <v>1.0233543656884874</v>
      </c>
      <c r="AJ374" s="286"/>
      <c r="AK374" s="246" t="str">
        <f>INDEX($E$4:$N$19,MATCH(AH363,$E$4:$E$19, 0),2)</f>
        <v>100 % dybstrøelsessystem</v>
      </c>
      <c r="AL374" s="246"/>
      <c r="AM374" s="65"/>
      <c r="AN374" s="85" t="s">
        <v>172</v>
      </c>
      <c r="AO374" s="85">
        <f>INDEX($E$4:$N$19,MATCH(AH361,$E$4:$E$19, 0),3)</f>
        <v>0</v>
      </c>
      <c r="AP374" s="186"/>
      <c r="AS374" s="211" t="s">
        <v>372</v>
      </c>
      <c r="AT374" s="44"/>
      <c r="AU374" s="113">
        <f>_xlfn.AGGREGATE(9,6,AH374:AI374)</f>
        <v>1.0233543656884874</v>
      </c>
      <c r="AV374" s="44"/>
      <c r="AW374" s="44"/>
      <c r="AX374" s="65"/>
      <c r="AY374" s="44"/>
      <c r="AZ374" s="44"/>
      <c r="BA374" s="65"/>
      <c r="BB374" s="139"/>
      <c r="BC374" s="483"/>
    </row>
    <row r="375" spans="1:55" x14ac:dyDescent="0.25">
      <c r="A375" s="302"/>
      <c r="B375" s="720"/>
      <c r="C375" s="245"/>
      <c r="E375" s="117" t="s">
        <v>102</v>
      </c>
      <c r="F375" s="305" t="e">
        <f>INDEX(Normtal!$Q$3:$AC$551,MATCH(F373,Normtal!$AA$3:$AA$551, 0),6)*C370/365</f>
        <v>#N/A</v>
      </c>
      <c r="G375" s="309" t="e">
        <f>INDEX(Normtal!$Q$3:$AC$551,MATCH(G373,Normtal!$AA$3:$AA$551, 0),6)*C370/365</f>
        <v>#N/A</v>
      </c>
      <c r="H375" s="286"/>
      <c r="I375" s="44"/>
      <c r="J375" s="44"/>
      <c r="K375" s="251" t="s">
        <v>203</v>
      </c>
      <c r="L375" s="85"/>
      <c r="M375" s="85"/>
      <c r="N375" s="186"/>
      <c r="Q375" s="211" t="s">
        <v>244</v>
      </c>
      <c r="R375" s="85" t="s">
        <v>10</v>
      </c>
      <c r="S375" s="113">
        <f>_xlfn.AGGREGATE(9,6,F375:G375)</f>
        <v>0</v>
      </c>
      <c r="T375" s="44"/>
      <c r="U375" s="44"/>
      <c r="V375" s="65"/>
      <c r="W375" s="85" t="s">
        <v>159</v>
      </c>
      <c r="X375" s="85">
        <f>$U$20</f>
        <v>0.01</v>
      </c>
      <c r="Y375" s="186"/>
      <c r="Z375" s="139"/>
      <c r="AA375" s="302"/>
      <c r="AC375" s="483"/>
      <c r="AD375" s="720"/>
      <c r="AE375" s="245"/>
      <c r="AG375" s="117" t="s">
        <v>102</v>
      </c>
      <c r="AH375" s="305" t="e">
        <f>INDEX(Normtal!$Q$3:$AC$551,MATCH(AH373,Normtal!$AA$3:$AA$551, 0),6)*AE370/365</f>
        <v>#N/A</v>
      </c>
      <c r="AI375" s="309">
        <f>INDEX(Normtal!$Q$3:$AC$551,MATCH(AI373,Normtal!$AA$3:$AA$551, 0),6)*AE370/365</f>
        <v>1.8615000000000004</v>
      </c>
      <c r="AJ375" s="286"/>
      <c r="AK375" s="44"/>
      <c r="AL375" s="44"/>
      <c r="AM375" s="251" t="s">
        <v>203</v>
      </c>
      <c r="AN375" s="85"/>
      <c r="AO375" s="85"/>
      <c r="AP375" s="186"/>
      <c r="AS375" s="211" t="s">
        <v>244</v>
      </c>
      <c r="AT375" s="85" t="s">
        <v>10</v>
      </c>
      <c r="AU375" s="113">
        <f>_xlfn.AGGREGATE(9,6,AH375:AI375)</f>
        <v>1.8615000000000004</v>
      </c>
      <c r="AV375" s="44"/>
      <c r="AW375" s="44"/>
      <c r="AX375" s="65"/>
      <c r="AY375" s="85" t="s">
        <v>159</v>
      </c>
      <c r="AZ375" s="85">
        <f>$U$20</f>
        <v>0.01</v>
      </c>
      <c r="BA375" s="186"/>
      <c r="BB375" s="139"/>
      <c r="BC375" s="483"/>
    </row>
    <row r="376" spans="1:55" x14ac:dyDescent="0.25">
      <c r="A376" s="302"/>
      <c r="B376" s="720"/>
      <c r="C376" s="245"/>
      <c r="E376" s="66" t="s">
        <v>234</v>
      </c>
      <c r="F376" s="307" t="e">
        <f>INDEX(Normtal!$Q$3:$AC$551,MATCH(F373,Normtal!$AA$3:$AA$551, 0),4)*C370/365</f>
        <v>#N/A</v>
      </c>
      <c r="G376" s="283"/>
      <c r="H376" s="285">
        <f>H367*C369*0.4</f>
        <v>0.290469698630137</v>
      </c>
      <c r="I376" s="44"/>
      <c r="J376" s="44"/>
      <c r="K376" s="65"/>
      <c r="L376" s="85" t="s">
        <v>195</v>
      </c>
      <c r="M376" s="85"/>
      <c r="N376" s="201">
        <f>INDEX($E$4:$N$19,MATCH(F361,$E$4:$E$19, 0),7)</f>
        <v>0</v>
      </c>
      <c r="Q376" s="211" t="s">
        <v>368</v>
      </c>
      <c r="R376" s="85" t="s">
        <v>10</v>
      </c>
      <c r="S376" s="300">
        <f>-_xlfn.AGGREGATE(9,6,G392:G393)</f>
        <v>0</v>
      </c>
      <c r="T376" s="44"/>
      <c r="U376" s="44"/>
      <c r="V376" s="65"/>
      <c r="W376" s="44"/>
      <c r="X376" s="44"/>
      <c r="Y376" s="186"/>
      <c r="Z376" s="139"/>
      <c r="AA376" s="302"/>
      <c r="AC376" s="483"/>
      <c r="AD376" s="720"/>
      <c r="AE376" s="245"/>
      <c r="AG376" s="66" t="s">
        <v>234</v>
      </c>
      <c r="AH376" s="307" t="e">
        <f>INDEX(Normtal!$Q$3:$AC$551,MATCH(AH373,Normtal!$AA$3:$AA$551, 0),4)*AE370/365</f>
        <v>#N/A</v>
      </c>
      <c r="AI376" s="283"/>
      <c r="AJ376" s="285">
        <f>AJ367*AE369*0.4</f>
        <v>0.26989565688487582</v>
      </c>
      <c r="AK376" s="44"/>
      <c r="AL376" s="44"/>
      <c r="AM376" s="65"/>
      <c r="AN376" s="85" t="s">
        <v>195</v>
      </c>
      <c r="AO376" s="85"/>
      <c r="AP376" s="201">
        <f>INDEX($E$4:$N$19,MATCH(AH361,$E$4:$E$19, 0),7)</f>
        <v>0</v>
      </c>
      <c r="AS376" s="211" t="s">
        <v>368</v>
      </c>
      <c r="AT376" s="85" t="s">
        <v>10</v>
      </c>
      <c r="AU376" s="300">
        <f>-_xlfn.AGGREGATE(9,6,AI392:AI393)</f>
        <v>-2.8848543656884877E-2</v>
      </c>
      <c r="AV376" s="44"/>
      <c r="AW376" s="44"/>
      <c r="AX376" s="65"/>
      <c r="AY376" s="44"/>
      <c r="AZ376" s="44"/>
      <c r="BA376" s="186"/>
      <c r="BB376" s="139"/>
      <c r="BC376" s="483"/>
    </row>
    <row r="377" spans="1:55" x14ac:dyDescent="0.25">
      <c r="A377" s="302"/>
      <c r="E377" s="66"/>
      <c r="F377" s="290"/>
      <c r="G377" s="290"/>
      <c r="H377" s="292"/>
      <c r="I377" s="44"/>
      <c r="J377" s="44"/>
      <c r="K377" s="251" t="s">
        <v>203</v>
      </c>
      <c r="L377" s="85"/>
      <c r="M377" s="85"/>
      <c r="N377" s="186"/>
      <c r="Q377" s="211" t="s">
        <v>366</v>
      </c>
      <c r="R377" s="85" t="s">
        <v>10</v>
      </c>
      <c r="S377" s="300">
        <f>-_xlfn.AGGREGATE(9,6,G394:G395)</f>
        <v>-6.7776263013698629E-2</v>
      </c>
      <c r="T377" s="44"/>
      <c r="U377" s="44"/>
      <c r="V377" s="65"/>
      <c r="Y377" s="65"/>
      <c r="Z377" s="139"/>
      <c r="AA377" s="302"/>
      <c r="AC377" s="483"/>
      <c r="AG377" s="66"/>
      <c r="AH377" s="290"/>
      <c r="AI377" s="290"/>
      <c r="AJ377" s="292"/>
      <c r="AK377" s="44"/>
      <c r="AL377" s="44"/>
      <c r="AM377" s="251" t="s">
        <v>203</v>
      </c>
      <c r="AN377" s="85"/>
      <c r="AO377" s="85"/>
      <c r="AP377" s="186"/>
      <c r="AS377" s="211" t="s">
        <v>366</v>
      </c>
      <c r="AT377" s="85" t="s">
        <v>10</v>
      </c>
      <c r="AU377" s="300">
        <f>-_xlfn.AGGREGATE(9,6,AI394:AI395)</f>
        <v>-6.1401261941309244E-2</v>
      </c>
      <c r="AV377" s="44"/>
      <c r="AW377" s="44"/>
      <c r="AX377" s="65"/>
      <c r="BA377" s="65"/>
      <c r="BB377" s="139"/>
      <c r="BC377" s="483"/>
    </row>
    <row r="378" spans="1:55" x14ac:dyDescent="0.25">
      <c r="A378" s="302"/>
      <c r="E378" s="96" t="s">
        <v>134</v>
      </c>
      <c r="F378" s="176">
        <f>_xlfn.AGGREGATE(9,6,F371,F376)</f>
        <v>0</v>
      </c>
      <c r="G378" s="288"/>
      <c r="H378" s="266">
        <f>_xlfn.AGGREGATE(9,6,H371,H376)</f>
        <v>0.290469698630137</v>
      </c>
      <c r="I378" s="44"/>
      <c r="J378" s="44"/>
      <c r="K378" s="65"/>
      <c r="L378" s="85"/>
      <c r="M378" s="85"/>
      <c r="N378" s="186"/>
      <c r="Q378" s="66"/>
      <c r="R378" s="44"/>
      <c r="S378" s="44"/>
      <c r="T378" s="301"/>
      <c r="U378" s="44"/>
      <c r="V378" s="65"/>
      <c r="W378" s="24"/>
      <c r="X378" s="24"/>
      <c r="Y378" s="120"/>
      <c r="Z378" s="48"/>
      <c r="AA378" s="302"/>
      <c r="AC378" s="483"/>
      <c r="AG378" s="96" t="s">
        <v>134</v>
      </c>
      <c r="AH378" s="176">
        <f>_xlfn.AGGREGATE(9,6,AH371,AH376)</f>
        <v>0</v>
      </c>
      <c r="AI378" s="288"/>
      <c r="AJ378" s="266">
        <f>_xlfn.AGGREGATE(9,6,AJ371,AJ376)</f>
        <v>0.26989565688487582</v>
      </c>
      <c r="AK378" s="44"/>
      <c r="AL378" s="44"/>
      <c r="AM378" s="65"/>
      <c r="AN378" s="85"/>
      <c r="AO378" s="85"/>
      <c r="AP378" s="186"/>
      <c r="AS378" s="66"/>
      <c r="AT378" s="44"/>
      <c r="AU378" s="44"/>
      <c r="AV378" s="301"/>
      <c r="AW378" s="44"/>
      <c r="AX378" s="65"/>
      <c r="AY378" s="24"/>
      <c r="AZ378" s="24"/>
      <c r="BA378" s="120"/>
      <c r="BB378" s="48"/>
      <c r="BC378" s="483"/>
    </row>
    <row r="379" spans="1:55" x14ac:dyDescent="0.25">
      <c r="A379" s="302"/>
      <c r="E379" s="66"/>
      <c r="F379" s="44"/>
      <c r="G379" s="44"/>
      <c r="H379" s="44"/>
      <c r="I379" s="44"/>
      <c r="J379" s="44"/>
      <c r="K379" s="65"/>
      <c r="L379" s="85"/>
      <c r="M379" s="85"/>
      <c r="N379" s="186"/>
      <c r="Q379" s="96" t="s">
        <v>369</v>
      </c>
      <c r="R379" s="85" t="s">
        <v>10</v>
      </c>
      <c r="S379" s="198">
        <f>SUM(S369:S372)</f>
        <v>0</v>
      </c>
      <c r="W379" s="44"/>
      <c r="X379" s="44"/>
      <c r="Y379" s="44"/>
      <c r="Z379" s="48"/>
      <c r="AA379" s="302"/>
      <c r="AC379" s="483"/>
      <c r="AG379" s="66"/>
      <c r="AH379" s="44"/>
      <c r="AI379" s="44"/>
      <c r="AJ379" s="44"/>
      <c r="AK379" s="44"/>
      <c r="AL379" s="44"/>
      <c r="AM379" s="65"/>
      <c r="AN379" s="85"/>
      <c r="AO379" s="85"/>
      <c r="AP379" s="186"/>
      <c r="AS379" s="96" t="s">
        <v>369</v>
      </c>
      <c r="AT379" s="85" t="s">
        <v>10</v>
      </c>
      <c r="AU379" s="198">
        <f>SUM(AU369:AU372)</f>
        <v>0</v>
      </c>
      <c r="AY379" s="44"/>
      <c r="AZ379" s="44"/>
      <c r="BA379" s="44"/>
      <c r="BB379" s="48"/>
      <c r="BC379" s="483"/>
    </row>
    <row r="380" spans="1:55" x14ac:dyDescent="0.25">
      <c r="A380" s="302"/>
      <c r="E380" s="96" t="s">
        <v>84</v>
      </c>
      <c r="F380" s="85"/>
      <c r="G380" s="85"/>
      <c r="H380" s="44"/>
      <c r="I380" s="85"/>
      <c r="J380" s="44"/>
      <c r="K380" s="251" t="s">
        <v>203</v>
      </c>
      <c r="L380" s="85" t="str">
        <f>$T$20</f>
        <v>EF4</v>
      </c>
      <c r="M380" s="85">
        <f>$U$20</f>
        <v>0.01</v>
      </c>
      <c r="N380" s="186"/>
      <c r="Q380" s="310" t="s">
        <v>563</v>
      </c>
      <c r="R380" s="84" t="s">
        <v>10</v>
      </c>
      <c r="S380" s="457" t="e">
        <f>F371-G389</f>
        <v>#N/A</v>
      </c>
      <c r="U380" s="44"/>
      <c r="V380" s="65"/>
      <c r="W380" s="44"/>
      <c r="X380" s="44"/>
      <c r="Y380" s="44"/>
      <c r="Z380" s="48"/>
      <c r="AA380" s="302"/>
      <c r="AC380" s="483"/>
      <c r="AG380" s="96" t="s">
        <v>84</v>
      </c>
      <c r="AH380" s="85"/>
      <c r="AI380" s="85"/>
      <c r="AJ380" s="44"/>
      <c r="AK380" s="85"/>
      <c r="AL380" s="44"/>
      <c r="AM380" s="251" t="s">
        <v>203</v>
      </c>
      <c r="AN380" s="85" t="str">
        <f>$T$20</f>
        <v>EF4</v>
      </c>
      <c r="AO380" s="85">
        <f>$U$20</f>
        <v>0.01</v>
      </c>
      <c r="AP380" s="186"/>
      <c r="AS380" s="310" t="s">
        <v>563</v>
      </c>
      <c r="AT380" s="84" t="s">
        <v>10</v>
      </c>
      <c r="AU380" s="457" t="e">
        <f>AH371-AI389</f>
        <v>#N/A</v>
      </c>
      <c r="AW380" s="44"/>
      <c r="AX380" s="65"/>
      <c r="AY380" s="44"/>
      <c r="AZ380" s="44"/>
      <c r="BA380" s="44"/>
      <c r="BB380" s="48"/>
      <c r="BC380" s="483"/>
    </row>
    <row r="381" spans="1:55" x14ac:dyDescent="0.25">
      <c r="A381" s="302"/>
      <c r="E381" s="96" t="s">
        <v>105</v>
      </c>
      <c r="F381" s="85" t="s">
        <v>10</v>
      </c>
      <c r="G381" s="176">
        <f>(F366)*M374/100</f>
        <v>0</v>
      </c>
      <c r="H381" s="44"/>
      <c r="I381" s="85" t="s">
        <v>85</v>
      </c>
      <c r="J381" s="114" t="s">
        <v>86</v>
      </c>
      <c r="K381" s="252" t="s">
        <v>203</v>
      </c>
      <c r="L381" s="85" t="str">
        <f>$T$21</f>
        <v>[leaching/ runoff]</v>
      </c>
      <c r="M381" s="85">
        <f>$U$21</f>
        <v>0</v>
      </c>
      <c r="N381" s="186"/>
      <c r="Q381" s="96" t="s">
        <v>370</v>
      </c>
      <c r="R381" s="85" t="s">
        <v>10</v>
      </c>
      <c r="S381" s="198">
        <f>SUM(S374:S377)</f>
        <v>1.0618281205479452</v>
      </c>
      <c r="W381" s="44"/>
      <c r="X381" s="44"/>
      <c r="Y381" s="44"/>
      <c r="Z381" s="48"/>
      <c r="AA381" s="302"/>
      <c r="AC381" s="483"/>
      <c r="AG381" s="96" t="s">
        <v>105</v>
      </c>
      <c r="AH381" s="85" t="s">
        <v>10</v>
      </c>
      <c r="AI381" s="176">
        <f>(AH366)*AO374/100</f>
        <v>0</v>
      </c>
      <c r="AJ381" s="44"/>
      <c r="AK381" s="85" t="s">
        <v>85</v>
      </c>
      <c r="AL381" s="114" t="s">
        <v>86</v>
      </c>
      <c r="AM381" s="252" t="s">
        <v>203</v>
      </c>
      <c r="AN381" s="85" t="str">
        <f>$T$21</f>
        <v>[leaching/ runoff]</v>
      </c>
      <c r="AO381" s="85">
        <f>$U$21</f>
        <v>0</v>
      </c>
      <c r="AP381" s="186"/>
      <c r="AS381" s="96" t="s">
        <v>370</v>
      </c>
      <c r="AT381" s="85" t="s">
        <v>10</v>
      </c>
      <c r="AU381" s="198">
        <f>SUM(AU374:AU377)</f>
        <v>2.7946045600902938</v>
      </c>
      <c r="AY381" s="44"/>
      <c r="AZ381" s="44"/>
      <c r="BA381" s="44"/>
      <c r="BB381" s="48"/>
      <c r="BC381" s="483"/>
    </row>
    <row r="382" spans="1:55" x14ac:dyDescent="0.25">
      <c r="A382" s="302"/>
      <c r="E382" s="96" t="s">
        <v>106</v>
      </c>
      <c r="F382" s="85" t="s">
        <v>10</v>
      </c>
      <c r="G382" s="198">
        <f>(F366)*N376/100</f>
        <v>0</v>
      </c>
      <c r="H382" s="44"/>
      <c r="I382" s="85" t="s">
        <v>87</v>
      </c>
      <c r="J382" s="114" t="s">
        <v>88</v>
      </c>
      <c r="K382" s="252" t="s">
        <v>203</v>
      </c>
      <c r="L382" s="85" t="str">
        <f>$T$22</f>
        <v>EF5</v>
      </c>
      <c r="M382" s="85">
        <f>$U$22</f>
        <v>1.0999999999999999E-2</v>
      </c>
      <c r="N382" s="186"/>
      <c r="T382" s="44"/>
      <c r="U382" s="44"/>
      <c r="V382" s="65"/>
      <c r="W382" s="85"/>
      <c r="X382" s="85"/>
      <c r="Y382" s="85"/>
      <c r="Z382" s="48"/>
      <c r="AA382" s="302"/>
      <c r="AC382" s="483"/>
      <c r="AG382" s="96" t="s">
        <v>106</v>
      </c>
      <c r="AH382" s="85" t="s">
        <v>10</v>
      </c>
      <c r="AI382" s="198">
        <f>(AH366)*AP376/100</f>
        <v>0</v>
      </c>
      <c r="AJ382" s="44"/>
      <c r="AK382" s="85" t="s">
        <v>87</v>
      </c>
      <c r="AL382" s="114" t="s">
        <v>88</v>
      </c>
      <c r="AM382" s="252" t="s">
        <v>203</v>
      </c>
      <c r="AN382" s="85" t="str">
        <f>$T$22</f>
        <v>EF5</v>
      </c>
      <c r="AO382" s="85">
        <f>$U$22</f>
        <v>1.0999999999999999E-2</v>
      </c>
      <c r="AP382" s="186"/>
      <c r="AV382" s="44"/>
      <c r="AW382" s="44"/>
      <c r="AX382" s="65"/>
      <c r="AY382" s="85"/>
      <c r="AZ382" s="85"/>
      <c r="BA382" s="85"/>
      <c r="BB382" s="48"/>
      <c r="BC382" s="483"/>
    </row>
    <row r="383" spans="1:55" x14ac:dyDescent="0.25">
      <c r="A383" s="302"/>
      <c r="E383" s="96" t="s">
        <v>200</v>
      </c>
      <c r="F383" s="85" t="s">
        <v>10</v>
      </c>
      <c r="G383" s="198">
        <f>F366*M383/100</f>
        <v>0</v>
      </c>
      <c r="H383" s="44"/>
      <c r="I383" s="85" t="s">
        <v>201</v>
      </c>
      <c r="J383" s="44"/>
      <c r="K383" s="251" t="s">
        <v>203</v>
      </c>
      <c r="L383" s="85" t="str">
        <f>$T$23</f>
        <v>FracLEACH</v>
      </c>
      <c r="M383" s="85">
        <f>$U$23</f>
        <v>0.24</v>
      </c>
      <c r="N383" s="186"/>
      <c r="Q383" s="96" t="s">
        <v>136</v>
      </c>
      <c r="R383" s="85"/>
      <c r="S383" s="85"/>
      <c r="T383" s="85"/>
      <c r="U383" s="85"/>
      <c r="V383" s="186" t="s">
        <v>210</v>
      </c>
      <c r="W383" s="44"/>
      <c r="X383" s="44"/>
      <c r="Y383" s="44"/>
      <c r="Z383" s="48"/>
      <c r="AA383" s="302"/>
      <c r="AC383" s="483"/>
      <c r="AG383" s="96" t="s">
        <v>200</v>
      </c>
      <c r="AH383" s="85" t="s">
        <v>10</v>
      </c>
      <c r="AI383" s="198">
        <f>AH366*AO383/100</f>
        <v>0</v>
      </c>
      <c r="AJ383" s="44"/>
      <c r="AK383" s="85" t="s">
        <v>201</v>
      </c>
      <c r="AL383" s="44"/>
      <c r="AM383" s="251" t="s">
        <v>203</v>
      </c>
      <c r="AN383" s="85" t="str">
        <f>$T$23</f>
        <v>FracLEACH</v>
      </c>
      <c r="AO383" s="85">
        <f>$U$23</f>
        <v>0.24</v>
      </c>
      <c r="AP383" s="186"/>
      <c r="AS383" s="96" t="s">
        <v>136</v>
      </c>
      <c r="AT383" s="85"/>
      <c r="AU383" s="85"/>
      <c r="AV383" s="85"/>
      <c r="AW383" s="85"/>
      <c r="AX383" s="186" t="s">
        <v>210</v>
      </c>
      <c r="AY383" s="44"/>
      <c r="AZ383" s="44"/>
      <c r="BA383" s="44"/>
      <c r="BB383" s="48"/>
      <c r="BC383" s="483"/>
    </row>
    <row r="384" spans="1:55" x14ac:dyDescent="0.25">
      <c r="A384" s="302"/>
      <c r="E384" s="66"/>
      <c r="F384" s="85"/>
      <c r="G384" s="176"/>
      <c r="H384" s="44"/>
      <c r="I384" s="85"/>
      <c r="J384" s="44"/>
      <c r="K384" s="251" t="s">
        <v>203</v>
      </c>
      <c r="L384" s="24"/>
      <c r="M384" s="24"/>
      <c r="N384" s="196"/>
      <c r="Q384" s="96" t="s">
        <v>375</v>
      </c>
      <c r="R384" s="85" t="s">
        <v>10</v>
      </c>
      <c r="S384" s="176">
        <f>(S379*X363/100)</f>
        <v>0</v>
      </c>
      <c r="T384" s="212" t="s">
        <v>561</v>
      </c>
      <c r="U384" s="212" t="s">
        <v>379</v>
      </c>
      <c r="V384" s="186" t="s">
        <v>210</v>
      </c>
      <c r="W384" s="44"/>
      <c r="X384" s="44"/>
      <c r="Y384" s="44"/>
      <c r="Z384" s="44"/>
      <c r="AA384" s="302"/>
      <c r="AC384" s="483"/>
      <c r="AG384" s="66"/>
      <c r="AH384" s="85"/>
      <c r="AI384" s="176"/>
      <c r="AJ384" s="44"/>
      <c r="AK384" s="85"/>
      <c r="AL384" s="44"/>
      <c r="AM384" s="251" t="s">
        <v>203</v>
      </c>
      <c r="AN384" s="24"/>
      <c r="AO384" s="24"/>
      <c r="AP384" s="196"/>
      <c r="AS384" s="96" t="s">
        <v>375</v>
      </c>
      <c r="AT384" s="85" t="s">
        <v>10</v>
      </c>
      <c r="AU384" s="176">
        <f>(AU379*AZ363/100)</f>
        <v>0</v>
      </c>
      <c r="AV384" s="212" t="s">
        <v>561</v>
      </c>
      <c r="AW384" s="212" t="s">
        <v>379</v>
      </c>
      <c r="AX384" s="186" t="s">
        <v>210</v>
      </c>
      <c r="AY384" s="44"/>
      <c r="AZ384" s="44"/>
      <c r="BA384" s="44"/>
      <c r="BB384" s="44"/>
      <c r="BC384" s="483"/>
    </row>
    <row r="385" spans="1:55" x14ac:dyDescent="0.25">
      <c r="A385" s="302"/>
      <c r="E385" s="96" t="s">
        <v>89</v>
      </c>
      <c r="F385" s="85"/>
      <c r="G385" s="176"/>
      <c r="H385" s="44"/>
      <c r="I385" s="85"/>
      <c r="J385" s="44"/>
      <c r="K385" s="251"/>
      <c r="L385" s="85"/>
      <c r="M385" s="85"/>
      <c r="N385" s="85"/>
      <c r="O385" s="44"/>
      <c r="Q385" s="96" t="s">
        <v>373</v>
      </c>
      <c r="R385" s="85" t="s">
        <v>10</v>
      </c>
      <c r="S385" s="176">
        <f>(S381*Y368/100)*0.35</f>
        <v>3.7163984219178076E-3</v>
      </c>
      <c r="T385" s="212" t="s">
        <v>141</v>
      </c>
      <c r="U385" s="212" t="s">
        <v>143</v>
      </c>
      <c r="V385" s="184" t="s">
        <v>210</v>
      </c>
      <c r="W385" s="85"/>
      <c r="X385" s="85"/>
      <c r="Y385" s="85"/>
      <c r="Z385" s="44"/>
      <c r="AA385" s="302"/>
      <c r="AC385" s="483"/>
      <c r="AG385" s="96" t="s">
        <v>89</v>
      </c>
      <c r="AH385" s="85"/>
      <c r="AI385" s="176"/>
      <c r="AJ385" s="44"/>
      <c r="AK385" s="85"/>
      <c r="AL385" s="44"/>
      <c r="AM385" s="251"/>
      <c r="AN385" s="85"/>
      <c r="AO385" s="85"/>
      <c r="AP385" s="85"/>
      <c r="AQ385" s="44"/>
      <c r="AS385" s="96" t="s">
        <v>373</v>
      </c>
      <c r="AT385" s="85" t="s">
        <v>10</v>
      </c>
      <c r="AU385" s="176">
        <f>(AU381*BA368/100)*0.35</f>
        <v>9.781115960316028E-3</v>
      </c>
      <c r="AV385" s="212" t="s">
        <v>141</v>
      </c>
      <c r="AW385" s="212" t="s">
        <v>143</v>
      </c>
      <c r="AX385" s="184" t="s">
        <v>210</v>
      </c>
      <c r="AY385" s="85"/>
      <c r="AZ385" s="85"/>
      <c r="BA385" s="85"/>
      <c r="BB385" s="44"/>
      <c r="BC385" s="483"/>
    </row>
    <row r="386" spans="1:55" x14ac:dyDescent="0.25">
      <c r="A386" s="302"/>
      <c r="E386" s="97" t="s">
        <v>236</v>
      </c>
      <c r="F386" s="85"/>
      <c r="G386" s="176"/>
      <c r="H386" s="44"/>
      <c r="I386" s="85"/>
      <c r="J386" s="116"/>
      <c r="K386" s="252"/>
      <c r="L386" s="85"/>
      <c r="M386" s="85"/>
      <c r="N386" s="85"/>
      <c r="O386" s="44"/>
      <c r="Q386" s="97" t="s">
        <v>376</v>
      </c>
      <c r="R386" s="84" t="s">
        <v>10</v>
      </c>
      <c r="S386" s="456" t="e">
        <f>S380*X364/100</f>
        <v>#N/A</v>
      </c>
      <c r="T386" s="458" t="s">
        <v>562</v>
      </c>
      <c r="U386" s="212" t="s">
        <v>380</v>
      </c>
      <c r="V386" s="184" t="s">
        <v>210</v>
      </c>
      <c r="W386" s="85"/>
      <c r="X386" s="85"/>
      <c r="Y386" s="85"/>
      <c r="Z386" s="44"/>
      <c r="AA386" s="302"/>
      <c r="AC386" s="483"/>
      <c r="AG386" s="97" t="s">
        <v>236</v>
      </c>
      <c r="AH386" s="85"/>
      <c r="AI386" s="176"/>
      <c r="AJ386" s="44"/>
      <c r="AK386" s="85"/>
      <c r="AL386" s="116"/>
      <c r="AM386" s="252"/>
      <c r="AN386" s="85"/>
      <c r="AO386" s="85"/>
      <c r="AP386" s="85"/>
      <c r="AQ386" s="44"/>
      <c r="AS386" s="97" t="s">
        <v>376</v>
      </c>
      <c r="AT386" s="84" t="s">
        <v>10</v>
      </c>
      <c r="AU386" s="456" t="e">
        <f>AU380*AZ364/100</f>
        <v>#N/A</v>
      </c>
      <c r="AV386" s="458" t="s">
        <v>562</v>
      </c>
      <c r="AW386" s="212" t="s">
        <v>380</v>
      </c>
      <c r="AX386" s="184" t="s">
        <v>210</v>
      </c>
      <c r="AY386" s="85"/>
      <c r="AZ386" s="85"/>
      <c r="BA386" s="85"/>
      <c r="BB386" s="44"/>
      <c r="BC386" s="483"/>
    </row>
    <row r="387" spans="1:55" x14ac:dyDescent="0.25">
      <c r="A387" s="302"/>
      <c r="E387" s="97" t="s">
        <v>107</v>
      </c>
      <c r="F387" s="85" t="s">
        <v>10</v>
      </c>
      <c r="G387" s="282" t="e">
        <f>(F369+F370)*M363/100</f>
        <v>#N/A</v>
      </c>
      <c r="H387" s="44"/>
      <c r="I387" s="85"/>
      <c r="J387" s="116"/>
      <c r="K387" s="252"/>
      <c r="L387" s="85"/>
      <c r="M387" s="85"/>
      <c r="N387" s="85"/>
      <c r="O387" s="44"/>
      <c r="Q387" s="97" t="s">
        <v>544</v>
      </c>
      <c r="R387" s="84" t="s">
        <v>10</v>
      </c>
      <c r="S387" s="432" t="e">
        <f>S380*X364/100*(1+X366*C372)</f>
        <v>#N/A</v>
      </c>
      <c r="T387" s="458" t="s">
        <v>565</v>
      </c>
      <c r="U387" s="212" t="s">
        <v>380</v>
      </c>
      <c r="V387" s="184" t="s">
        <v>210</v>
      </c>
      <c r="W387" s="44"/>
      <c r="X387" s="44"/>
      <c r="Y387" s="44"/>
      <c r="Z387" s="44"/>
      <c r="AA387" s="302"/>
      <c r="AC387" s="483"/>
      <c r="AG387" s="97" t="s">
        <v>107</v>
      </c>
      <c r="AH387" s="85" t="s">
        <v>10</v>
      </c>
      <c r="AI387" s="282" t="e">
        <f>(AH369+AH370)*AO363/100</f>
        <v>#N/A</v>
      </c>
      <c r="AJ387" s="44"/>
      <c r="AK387" s="85"/>
      <c r="AL387" s="116"/>
      <c r="AM387" s="252"/>
      <c r="AN387" s="85"/>
      <c r="AO387" s="85"/>
      <c r="AP387" s="85"/>
      <c r="AQ387" s="44"/>
      <c r="AS387" s="97" t="s">
        <v>544</v>
      </c>
      <c r="AT387" s="84" t="s">
        <v>10</v>
      </c>
      <c r="AU387" s="432" t="e">
        <f>AU380*AZ364/100*(1+AZ366*AE372)</f>
        <v>#N/A</v>
      </c>
      <c r="AV387" s="458" t="s">
        <v>565</v>
      </c>
      <c r="AW387" s="212" t="s">
        <v>380</v>
      </c>
      <c r="AX387" s="184" t="s">
        <v>210</v>
      </c>
      <c r="AY387" s="44"/>
      <c r="AZ387" s="44"/>
      <c r="BA387" s="44"/>
      <c r="BB387" s="44"/>
      <c r="BC387" s="483"/>
    </row>
    <row r="388" spans="1:55" x14ac:dyDescent="0.25">
      <c r="A388" s="302"/>
      <c r="E388" s="97" t="s">
        <v>108</v>
      </c>
      <c r="F388" s="85" t="s">
        <v>10</v>
      </c>
      <c r="G388" s="282">
        <f>(G369+G370)*N363/100</f>
        <v>0</v>
      </c>
      <c r="H388" s="44"/>
      <c r="I388" s="85"/>
      <c r="J388" s="116"/>
      <c r="K388" s="252"/>
      <c r="L388" s="85"/>
      <c r="M388" s="85"/>
      <c r="N388" s="85"/>
      <c r="O388" s="44"/>
      <c r="Q388" s="96" t="s">
        <v>374</v>
      </c>
      <c r="R388" s="85" t="s">
        <v>10</v>
      </c>
      <c r="S388" s="198">
        <f>(S381*Y370/100)*0.35</f>
        <v>1.1149195265753423E-2</v>
      </c>
      <c r="T388" s="212" t="s">
        <v>142</v>
      </c>
      <c r="U388" s="212" t="s">
        <v>144</v>
      </c>
      <c r="V388" s="184" t="s">
        <v>210</v>
      </c>
      <c r="W388" s="44"/>
      <c r="X388" s="44"/>
      <c r="Y388" s="44"/>
      <c r="Z388" s="44"/>
      <c r="AA388" s="302"/>
      <c r="AC388" s="483"/>
      <c r="AG388" s="97" t="s">
        <v>108</v>
      </c>
      <c r="AH388" s="85" t="s">
        <v>10</v>
      </c>
      <c r="AI388" s="282">
        <f>(AI369+AI370)*AP363/100</f>
        <v>0</v>
      </c>
      <c r="AJ388" s="44"/>
      <c r="AK388" s="85"/>
      <c r="AL388" s="116"/>
      <c r="AM388" s="252"/>
      <c r="AN388" s="85"/>
      <c r="AO388" s="85"/>
      <c r="AP388" s="85"/>
      <c r="AQ388" s="44"/>
      <c r="AS388" s="96" t="s">
        <v>374</v>
      </c>
      <c r="AT388" s="85" t="s">
        <v>10</v>
      </c>
      <c r="AU388" s="198">
        <f>(AU381*BA370/100)*0.35</f>
        <v>2.9343347880948081E-2</v>
      </c>
      <c r="AV388" s="212" t="s">
        <v>142</v>
      </c>
      <c r="AW388" s="212" t="s">
        <v>144</v>
      </c>
      <c r="AX388" s="184" t="s">
        <v>210</v>
      </c>
      <c r="AY388" s="44"/>
      <c r="AZ388" s="44"/>
      <c r="BA388" s="44"/>
      <c r="BB388" s="44"/>
      <c r="BC388" s="483"/>
    </row>
    <row r="389" spans="1:55" x14ac:dyDescent="0.25">
      <c r="A389" s="302"/>
      <c r="E389" s="97" t="s">
        <v>109</v>
      </c>
      <c r="F389" s="85" t="s">
        <v>10</v>
      </c>
      <c r="G389" s="197" t="e">
        <f>F371*M365/100</f>
        <v>#N/A</v>
      </c>
      <c r="H389" s="44"/>
      <c r="I389" s="85"/>
      <c r="J389" s="116"/>
      <c r="K389" s="252"/>
      <c r="L389" s="85"/>
      <c r="M389" s="85"/>
      <c r="N389" s="85"/>
      <c r="O389" s="44"/>
      <c r="Q389" s="97" t="s">
        <v>383</v>
      </c>
      <c r="R389" s="85"/>
      <c r="S389" s="85"/>
      <c r="T389" s="85"/>
      <c r="U389" s="85"/>
      <c r="V389" s="186" t="s">
        <v>210</v>
      </c>
      <c r="W389" s="44"/>
      <c r="X389" s="44"/>
      <c r="Y389" s="44"/>
      <c r="Z389" s="44"/>
      <c r="AA389" s="302"/>
      <c r="AC389" s="483"/>
      <c r="AG389" s="97" t="s">
        <v>109</v>
      </c>
      <c r="AH389" s="85" t="s">
        <v>10</v>
      </c>
      <c r="AI389" s="197" t="e">
        <f>AH371*AO365/100</f>
        <v>#N/A</v>
      </c>
      <c r="AJ389" s="44"/>
      <c r="AK389" s="85"/>
      <c r="AL389" s="116"/>
      <c r="AM389" s="252"/>
      <c r="AN389" s="85"/>
      <c r="AO389" s="85"/>
      <c r="AP389" s="85"/>
      <c r="AQ389" s="44"/>
      <c r="AS389" s="97" t="s">
        <v>383</v>
      </c>
      <c r="AT389" s="85"/>
      <c r="AU389" s="85"/>
      <c r="AV389" s="85"/>
      <c r="AW389" s="85"/>
      <c r="AX389" s="186" t="s">
        <v>210</v>
      </c>
      <c r="AY389" s="44"/>
      <c r="AZ389" s="44"/>
      <c r="BA389" s="44"/>
      <c r="BB389" s="44"/>
      <c r="BC389" s="483"/>
    </row>
    <row r="390" spans="1:55" x14ac:dyDescent="0.25">
      <c r="A390" s="302"/>
      <c r="E390" s="97" t="s">
        <v>110</v>
      </c>
      <c r="F390" s="85" t="s">
        <v>10</v>
      </c>
      <c r="G390" s="197">
        <f>(G369)*N364/100</f>
        <v>0</v>
      </c>
      <c r="H390" s="44"/>
      <c r="I390" s="85"/>
      <c r="J390" s="116"/>
      <c r="K390" s="252"/>
      <c r="L390" s="85"/>
      <c r="M390" s="85"/>
      <c r="N390" s="85"/>
      <c r="O390" s="44"/>
      <c r="Q390" s="96" t="s">
        <v>12</v>
      </c>
      <c r="R390" s="84" t="s">
        <v>13</v>
      </c>
      <c r="S390" s="182">
        <f>SUM(S384:S385)*(44/28)*$U$13</f>
        <v>1.5943349230027395</v>
      </c>
      <c r="T390" s="85"/>
      <c r="U390" s="85"/>
      <c r="V390" s="186" t="s">
        <v>210</v>
      </c>
      <c r="AA390" s="302"/>
      <c r="AC390" s="483"/>
      <c r="AG390" s="97" t="s">
        <v>110</v>
      </c>
      <c r="AH390" s="85" t="s">
        <v>10</v>
      </c>
      <c r="AI390" s="197">
        <f>(AI369)*AP364/100</f>
        <v>0</v>
      </c>
      <c r="AJ390" s="44"/>
      <c r="AK390" s="85"/>
      <c r="AL390" s="116"/>
      <c r="AM390" s="252"/>
      <c r="AN390" s="85"/>
      <c r="AO390" s="85"/>
      <c r="AP390" s="85"/>
      <c r="AQ390" s="44"/>
      <c r="AS390" s="96" t="s">
        <v>12</v>
      </c>
      <c r="AT390" s="84" t="s">
        <v>13</v>
      </c>
      <c r="AU390" s="182">
        <f>SUM(AU384:AU385)*(44/28)*$U$13</f>
        <v>4.1960987469755757</v>
      </c>
      <c r="AV390" s="85"/>
      <c r="AW390" s="85"/>
      <c r="AX390" s="186" t="s">
        <v>210</v>
      </c>
      <c r="BC390" s="483"/>
    </row>
    <row r="391" spans="1:55" x14ac:dyDescent="0.25">
      <c r="A391" s="302"/>
      <c r="E391" s="96" t="s">
        <v>237</v>
      </c>
      <c r="F391" s="85"/>
      <c r="G391" s="176"/>
      <c r="H391" s="44"/>
      <c r="I391" s="85"/>
      <c r="J391" s="44"/>
      <c r="K391" s="251"/>
      <c r="L391" s="85"/>
      <c r="M391" s="85"/>
      <c r="N391" s="85"/>
      <c r="O391" s="44"/>
      <c r="Q391" s="96" t="s">
        <v>14</v>
      </c>
      <c r="R391" s="84" t="s">
        <v>13</v>
      </c>
      <c r="S391" s="176" t="e">
        <f>SUM(S386,S388)*(44/28)*X375*$U$13</f>
        <v>#N/A</v>
      </c>
      <c r="T391" s="85"/>
      <c r="U391" s="85"/>
      <c r="V391" s="186"/>
      <c r="AA391" s="302"/>
      <c r="AC391" s="483"/>
      <c r="AG391" s="96" t="s">
        <v>237</v>
      </c>
      <c r="AH391" s="85"/>
      <c r="AI391" s="176"/>
      <c r="AJ391" s="44"/>
      <c r="AK391" s="85"/>
      <c r="AL391" s="44"/>
      <c r="AM391" s="251"/>
      <c r="AN391" s="85"/>
      <c r="AO391" s="85"/>
      <c r="AP391" s="85"/>
      <c r="AQ391" s="44"/>
      <c r="AS391" s="96" t="s">
        <v>14</v>
      </c>
      <c r="AT391" s="84" t="s">
        <v>13</v>
      </c>
      <c r="AU391" s="176" t="e">
        <f>SUM(AU386,AU388)*(44/28)*AZ375*$U$13</f>
        <v>#N/A</v>
      </c>
      <c r="AV391" s="85"/>
      <c r="AW391" s="85"/>
      <c r="AX391" s="186"/>
      <c r="BC391" s="483"/>
    </row>
    <row r="392" spans="1:55" x14ac:dyDescent="0.25">
      <c r="A392" s="302"/>
      <c r="E392" s="97" t="s">
        <v>107</v>
      </c>
      <c r="F392" s="85" t="s">
        <v>10</v>
      </c>
      <c r="G392" s="197" t="e">
        <f>((F374)+(F375*C370/365))*M367/100</f>
        <v>#N/A</v>
      </c>
      <c r="H392" s="44"/>
      <c r="I392" s="85" t="s">
        <v>111</v>
      </c>
      <c r="J392" s="114" t="s">
        <v>11</v>
      </c>
      <c r="K392" s="252" t="s">
        <v>203</v>
      </c>
      <c r="L392" s="85"/>
      <c r="M392" s="85"/>
      <c r="N392" s="85"/>
      <c r="O392" s="44"/>
      <c r="Q392" s="96" t="s">
        <v>545</v>
      </c>
      <c r="R392" s="84" t="s">
        <v>13</v>
      </c>
      <c r="S392" s="258" t="e">
        <f>SUM(S387,S388)*(44/28)*X375*$U$13</f>
        <v>#N/A</v>
      </c>
      <c r="T392" s="85"/>
      <c r="U392" s="85"/>
      <c r="V392" s="186"/>
      <c r="AA392" s="302"/>
      <c r="AC392" s="483"/>
      <c r="AG392" s="97" t="s">
        <v>107</v>
      </c>
      <c r="AH392" s="85" t="s">
        <v>10</v>
      </c>
      <c r="AI392" s="197" t="e">
        <f>((AH374)+(AH375*AE370/365))*AO367/100</f>
        <v>#N/A</v>
      </c>
      <c r="AJ392" s="44"/>
      <c r="AK392" s="85" t="s">
        <v>111</v>
      </c>
      <c r="AL392" s="114" t="s">
        <v>11</v>
      </c>
      <c r="AM392" s="252" t="s">
        <v>203</v>
      </c>
      <c r="AN392" s="85"/>
      <c r="AO392" s="85"/>
      <c r="AP392" s="85"/>
      <c r="AQ392" s="44"/>
      <c r="AS392" s="96" t="s">
        <v>545</v>
      </c>
      <c r="AT392" s="84" t="s">
        <v>13</v>
      </c>
      <c r="AU392" s="258" t="e">
        <f>SUM(AU387,AU388)*(44/28)*AZ375*$U$13</f>
        <v>#N/A</v>
      </c>
      <c r="AV392" s="85"/>
      <c r="AW392" s="85"/>
      <c r="AX392" s="186"/>
      <c r="BC392" s="483"/>
    </row>
    <row r="393" spans="1:55" x14ac:dyDescent="0.25">
      <c r="A393" s="302"/>
      <c r="E393" s="97" t="s">
        <v>108</v>
      </c>
      <c r="F393" s="85" t="s">
        <v>10</v>
      </c>
      <c r="G393" s="197" t="e">
        <f>((G374)+(G375*C370/365))*N367/100</f>
        <v>#N/A</v>
      </c>
      <c r="H393" s="44"/>
      <c r="I393" s="85" t="s">
        <v>140</v>
      </c>
      <c r="J393" s="116"/>
      <c r="K393" s="251" t="s">
        <v>203</v>
      </c>
      <c r="L393" s="85"/>
      <c r="M393" s="85"/>
      <c r="N393" s="85"/>
      <c r="O393" s="44"/>
      <c r="Q393" s="122"/>
      <c r="R393" s="98"/>
      <c r="S393" s="199"/>
      <c r="T393" s="101"/>
      <c r="U393" s="101"/>
      <c r="V393" s="196" t="s">
        <v>210</v>
      </c>
      <c r="AA393" s="302"/>
      <c r="AC393" s="483"/>
      <c r="AG393" s="97" t="s">
        <v>108</v>
      </c>
      <c r="AH393" s="85" t="s">
        <v>10</v>
      </c>
      <c r="AI393" s="197">
        <f>((AI374)+(AI375*AE370/365))*AP367/100</f>
        <v>2.8848543656884877E-2</v>
      </c>
      <c r="AJ393" s="44"/>
      <c r="AK393" s="85" t="s">
        <v>140</v>
      </c>
      <c r="AL393" s="116"/>
      <c r="AM393" s="251" t="s">
        <v>203</v>
      </c>
      <c r="AN393" s="85"/>
      <c r="AO393" s="85"/>
      <c r="AP393" s="85"/>
      <c r="AQ393" s="44"/>
      <c r="AS393" s="122"/>
      <c r="AT393" s="98"/>
      <c r="AU393" s="199"/>
      <c r="AV393" s="101"/>
      <c r="AW393" s="101"/>
      <c r="AX393" s="196" t="s">
        <v>210</v>
      </c>
      <c r="BC393" s="483"/>
    </row>
    <row r="394" spans="1:55" x14ac:dyDescent="0.25">
      <c r="A394" s="302"/>
      <c r="E394" s="97" t="s">
        <v>109</v>
      </c>
      <c r="F394" s="85" t="s">
        <v>10</v>
      </c>
      <c r="G394" s="197" t="e">
        <f>F376*M369/100</f>
        <v>#N/A</v>
      </c>
      <c r="H394" s="44"/>
      <c r="I394" s="85" t="s">
        <v>112</v>
      </c>
      <c r="J394" s="114" t="s">
        <v>90</v>
      </c>
      <c r="K394" s="252" t="s">
        <v>203</v>
      </c>
      <c r="L394" s="85"/>
      <c r="M394" s="85"/>
      <c r="N394" s="85"/>
      <c r="O394" s="44"/>
      <c r="AA394" s="302"/>
      <c r="AC394" s="483"/>
      <c r="AG394" s="97" t="s">
        <v>109</v>
      </c>
      <c r="AH394" s="85" t="s">
        <v>10</v>
      </c>
      <c r="AI394" s="197" t="e">
        <f>AH376*AO369/100</f>
        <v>#N/A</v>
      </c>
      <c r="AJ394" s="44"/>
      <c r="AK394" s="85" t="s">
        <v>112</v>
      </c>
      <c r="AL394" s="114" t="s">
        <v>90</v>
      </c>
      <c r="AM394" s="252" t="s">
        <v>203</v>
      </c>
      <c r="AN394" s="85"/>
      <c r="AO394" s="85"/>
      <c r="AP394" s="85"/>
      <c r="AQ394" s="44"/>
      <c r="BC394" s="483"/>
    </row>
    <row r="395" spans="1:55" x14ac:dyDescent="0.25">
      <c r="A395" s="302"/>
      <c r="E395" s="97" t="s">
        <v>110</v>
      </c>
      <c r="F395" s="85" t="s">
        <v>10</v>
      </c>
      <c r="G395" s="197">
        <f>(G374)*N368/100</f>
        <v>6.7776263013698629E-2</v>
      </c>
      <c r="H395" s="44"/>
      <c r="I395" s="44"/>
      <c r="J395" s="116"/>
      <c r="K395" s="252" t="s">
        <v>203</v>
      </c>
      <c r="L395" s="85"/>
      <c r="M395" s="85"/>
      <c r="N395" s="85"/>
      <c r="O395" s="44"/>
      <c r="AA395" s="302"/>
      <c r="AC395" s="483"/>
      <c r="AG395" s="97" t="s">
        <v>110</v>
      </c>
      <c r="AH395" s="85" t="s">
        <v>10</v>
      </c>
      <c r="AI395" s="197">
        <f>(AI374)*AP368/100</f>
        <v>6.1401261941309244E-2</v>
      </c>
      <c r="AJ395" s="44"/>
      <c r="AK395" s="44"/>
      <c r="AL395" s="116"/>
      <c r="AM395" s="252" t="s">
        <v>203</v>
      </c>
      <c r="AN395" s="85"/>
      <c r="AO395" s="85"/>
      <c r="AP395" s="85"/>
      <c r="AQ395" s="44"/>
      <c r="BC395" s="483"/>
    </row>
    <row r="396" spans="1:55" x14ac:dyDescent="0.25">
      <c r="A396" s="302"/>
      <c r="E396" s="97"/>
      <c r="F396" s="85"/>
      <c r="G396" s="176"/>
      <c r="H396" s="44"/>
      <c r="I396" s="85"/>
      <c r="J396" s="116"/>
      <c r="K396" s="252"/>
      <c r="L396" s="44"/>
      <c r="M396" s="44"/>
      <c r="N396" s="44"/>
      <c r="O396" s="44"/>
      <c r="V396" s="56" t="s">
        <v>210</v>
      </c>
      <c r="AA396" s="302"/>
      <c r="AC396" s="483"/>
      <c r="AG396" s="97"/>
      <c r="AH396" s="85"/>
      <c r="AI396" s="176"/>
      <c r="AJ396" s="44"/>
      <c r="AK396" s="85"/>
      <c r="AL396" s="116"/>
      <c r="AM396" s="252"/>
      <c r="AN396" s="44"/>
      <c r="AO396" s="44"/>
      <c r="AP396" s="44"/>
      <c r="AQ396" s="44"/>
      <c r="AX396" s="56" t="s">
        <v>210</v>
      </c>
      <c r="BC396" s="483"/>
    </row>
    <row r="397" spans="1:55" x14ac:dyDescent="0.25">
      <c r="A397" s="302"/>
      <c r="E397" s="97" t="s">
        <v>239</v>
      </c>
      <c r="F397" s="85" t="s">
        <v>10</v>
      </c>
      <c r="G397" s="176">
        <f>_xlfn.AGGREGATE(9,6,G387,G388,G392,G393)</f>
        <v>0</v>
      </c>
      <c r="H397" s="44"/>
      <c r="I397" s="85" t="s">
        <v>113</v>
      </c>
      <c r="J397" s="100"/>
      <c r="K397" s="252" t="s">
        <v>203</v>
      </c>
      <c r="L397" s="44"/>
      <c r="M397" s="44"/>
      <c r="N397" s="44"/>
      <c r="O397" s="44"/>
      <c r="V397" s="56" t="s">
        <v>210</v>
      </c>
      <c r="AA397" s="302"/>
      <c r="AC397" s="483"/>
      <c r="AG397" s="97" t="s">
        <v>239</v>
      </c>
      <c r="AH397" s="85" t="s">
        <v>10</v>
      </c>
      <c r="AI397" s="176">
        <f>_xlfn.AGGREGATE(9,6,AI387,AI388,AI392,AI393)</f>
        <v>2.8848543656884877E-2</v>
      </c>
      <c r="AJ397" s="44"/>
      <c r="AK397" s="85" t="s">
        <v>113</v>
      </c>
      <c r="AL397" s="100"/>
      <c r="AM397" s="252" t="s">
        <v>203</v>
      </c>
      <c r="AN397" s="44"/>
      <c r="AO397" s="44"/>
      <c r="AP397" s="44"/>
      <c r="AQ397" s="44"/>
      <c r="AX397" s="56" t="s">
        <v>210</v>
      </c>
      <c r="BC397" s="483"/>
    </row>
    <row r="398" spans="1:55" x14ac:dyDescent="0.25">
      <c r="A398" s="302"/>
      <c r="E398" s="97" t="s">
        <v>240</v>
      </c>
      <c r="F398" s="85" t="s">
        <v>10</v>
      </c>
      <c r="G398" s="176">
        <f>_xlfn.AGGREGATE(9,6,G389,G390,G394,G395)</f>
        <v>6.7776263013698629E-2</v>
      </c>
      <c r="H398" s="44"/>
      <c r="I398" s="85" t="s">
        <v>114</v>
      </c>
      <c r="J398" s="100"/>
      <c r="K398" s="252" t="s">
        <v>203</v>
      </c>
      <c r="L398" s="85"/>
      <c r="M398" s="85"/>
      <c r="N398" s="85"/>
      <c r="O398" s="44"/>
      <c r="V398" s="56" t="s">
        <v>210</v>
      </c>
      <c r="AA398" s="302"/>
      <c r="AC398" s="483"/>
      <c r="AG398" s="97" t="s">
        <v>240</v>
      </c>
      <c r="AH398" s="85" t="s">
        <v>10</v>
      </c>
      <c r="AI398" s="176">
        <f>_xlfn.AGGREGATE(9,6,AI389,AI390,AI394,AI395)</f>
        <v>6.1401261941309244E-2</v>
      </c>
      <c r="AJ398" s="44"/>
      <c r="AK398" s="85" t="s">
        <v>114</v>
      </c>
      <c r="AL398" s="100"/>
      <c r="AM398" s="252" t="s">
        <v>203</v>
      </c>
      <c r="AN398" s="85"/>
      <c r="AO398" s="85"/>
      <c r="AP398" s="85"/>
      <c r="AQ398" s="44"/>
      <c r="AX398" s="56" t="s">
        <v>210</v>
      </c>
      <c r="BC398" s="483"/>
    </row>
    <row r="399" spans="1:55" x14ac:dyDescent="0.25">
      <c r="A399" s="302"/>
      <c r="E399" s="97"/>
      <c r="F399" s="85"/>
      <c r="G399" s="85"/>
      <c r="H399" s="44"/>
      <c r="I399" s="85"/>
      <c r="J399" s="100"/>
      <c r="K399" s="252" t="s">
        <v>203</v>
      </c>
      <c r="L399" s="44"/>
      <c r="M399" s="44"/>
      <c r="N399" s="85"/>
      <c r="O399" s="44"/>
      <c r="V399" s="56" t="s">
        <v>210</v>
      </c>
      <c r="AA399" s="302"/>
      <c r="AC399" s="483"/>
      <c r="AG399" s="97"/>
      <c r="AH399" s="85"/>
      <c r="AI399" s="85"/>
      <c r="AJ399" s="44"/>
      <c r="AK399" s="85"/>
      <c r="AL399" s="100"/>
      <c r="AM399" s="252" t="s">
        <v>203</v>
      </c>
      <c r="AN399" s="44"/>
      <c r="AO399" s="44"/>
      <c r="AP399" s="85"/>
      <c r="AQ399" s="44"/>
      <c r="AX399" s="56" t="s">
        <v>210</v>
      </c>
      <c r="BC399" s="483"/>
    </row>
    <row r="400" spans="1:55" x14ac:dyDescent="0.25">
      <c r="A400" s="302"/>
      <c r="E400" s="97" t="s">
        <v>91</v>
      </c>
      <c r="F400" s="85"/>
      <c r="G400" s="85"/>
      <c r="H400" s="44"/>
      <c r="I400" s="85"/>
      <c r="J400" s="85"/>
      <c r="K400" s="251" t="s">
        <v>203</v>
      </c>
      <c r="L400" s="99"/>
      <c r="M400" s="85"/>
      <c r="N400" s="85"/>
      <c r="O400" s="44"/>
      <c r="V400" s="56" t="s">
        <v>210</v>
      </c>
      <c r="AA400" s="302"/>
      <c r="AC400" s="483"/>
      <c r="AG400" s="97" t="s">
        <v>91</v>
      </c>
      <c r="AH400" s="85"/>
      <c r="AI400" s="85"/>
      <c r="AJ400" s="44"/>
      <c r="AK400" s="85"/>
      <c r="AL400" s="85"/>
      <c r="AM400" s="251" t="s">
        <v>203</v>
      </c>
      <c r="AN400" s="99"/>
      <c r="AO400" s="85"/>
      <c r="AP400" s="85"/>
      <c r="AQ400" s="44"/>
      <c r="AX400" s="56" t="s">
        <v>210</v>
      </c>
      <c r="BC400" s="483"/>
    </row>
    <row r="401" spans="1:55" x14ac:dyDescent="0.25">
      <c r="A401" s="302"/>
      <c r="E401" s="97" t="s">
        <v>190</v>
      </c>
      <c r="F401" s="85" t="s">
        <v>13</v>
      </c>
      <c r="G401" s="176">
        <f>G381*(44/28)*$U$13</f>
        <v>0</v>
      </c>
      <c r="H401" s="44"/>
      <c r="I401" s="85" t="s">
        <v>173</v>
      </c>
      <c r="J401" s="85"/>
      <c r="K401" s="251" t="s">
        <v>203</v>
      </c>
      <c r="L401" s="85"/>
      <c r="M401" s="85"/>
      <c r="N401" s="85"/>
      <c r="O401" s="44"/>
      <c r="V401" s="56" t="s">
        <v>210</v>
      </c>
      <c r="AA401" s="302"/>
      <c r="AC401" s="483"/>
      <c r="AG401" s="97" t="s">
        <v>190</v>
      </c>
      <c r="AH401" s="85" t="s">
        <v>13</v>
      </c>
      <c r="AI401" s="176">
        <f>AI381*(44/28)*$U$13</f>
        <v>0</v>
      </c>
      <c r="AJ401" s="44"/>
      <c r="AK401" s="85" t="s">
        <v>173</v>
      </c>
      <c r="AL401" s="85"/>
      <c r="AM401" s="251" t="s">
        <v>203</v>
      </c>
      <c r="AN401" s="85"/>
      <c r="AO401" s="85"/>
      <c r="AP401" s="85"/>
      <c r="AQ401" s="44"/>
      <c r="AX401" s="56" t="s">
        <v>210</v>
      </c>
      <c r="BC401" s="483"/>
    </row>
    <row r="402" spans="1:55" x14ac:dyDescent="0.25">
      <c r="A402" s="302"/>
      <c r="E402" s="97" t="s">
        <v>189</v>
      </c>
      <c r="F402" s="85" t="s">
        <v>13</v>
      </c>
      <c r="G402" s="182">
        <f>G382*(44/28)*M380*$U$13</f>
        <v>0</v>
      </c>
      <c r="H402" s="44"/>
      <c r="I402" s="85" t="s">
        <v>174</v>
      </c>
      <c r="J402" s="85"/>
      <c r="K402" s="251" t="s">
        <v>203</v>
      </c>
      <c r="L402" s="85"/>
      <c r="M402" s="85"/>
      <c r="N402" s="85"/>
      <c r="O402" s="44"/>
      <c r="V402" s="56" t="s">
        <v>210</v>
      </c>
      <c r="AA402" s="302"/>
      <c r="AC402" s="483"/>
      <c r="AG402" s="97" t="s">
        <v>189</v>
      </c>
      <c r="AH402" s="85" t="s">
        <v>13</v>
      </c>
      <c r="AI402" s="182">
        <f>AI382*(44/28)*AO380*$U$13</f>
        <v>0</v>
      </c>
      <c r="AJ402" s="44"/>
      <c r="AK402" s="85" t="s">
        <v>174</v>
      </c>
      <c r="AL402" s="85"/>
      <c r="AM402" s="251" t="s">
        <v>203</v>
      </c>
      <c r="AN402" s="85"/>
      <c r="AO402" s="85"/>
      <c r="AP402" s="85"/>
      <c r="AQ402" s="44"/>
      <c r="AX402" s="56" t="s">
        <v>210</v>
      </c>
      <c r="BC402" s="483"/>
    </row>
    <row r="403" spans="1:55" x14ac:dyDescent="0.25">
      <c r="A403" s="302"/>
      <c r="E403" s="97" t="s">
        <v>198</v>
      </c>
      <c r="F403" s="85" t="s">
        <v>13</v>
      </c>
      <c r="G403" s="182">
        <f>G383*(44/28)*M382*$U$13</f>
        <v>0</v>
      </c>
      <c r="H403" s="44"/>
      <c r="I403" s="85" t="s">
        <v>199</v>
      </c>
      <c r="J403" s="85"/>
      <c r="K403" s="251" t="s">
        <v>203</v>
      </c>
      <c r="L403" s="85"/>
      <c r="M403" s="85"/>
      <c r="N403" s="85"/>
      <c r="O403" s="44"/>
      <c r="V403" s="56" t="s">
        <v>210</v>
      </c>
      <c r="AA403" s="302"/>
      <c r="AC403" s="483"/>
      <c r="AG403" s="97" t="s">
        <v>198</v>
      </c>
      <c r="AH403" s="85" t="s">
        <v>13</v>
      </c>
      <c r="AI403" s="182">
        <f>AI383*(44/28)*AO382*$U$13</f>
        <v>0</v>
      </c>
      <c r="AJ403" s="44"/>
      <c r="AK403" s="85" t="s">
        <v>199</v>
      </c>
      <c r="AL403" s="85"/>
      <c r="AM403" s="251" t="s">
        <v>203</v>
      </c>
      <c r="AN403" s="85"/>
      <c r="AO403" s="85"/>
      <c r="AP403" s="85"/>
      <c r="AQ403" s="44"/>
      <c r="AX403" s="56" t="s">
        <v>210</v>
      </c>
      <c r="BC403" s="483"/>
    </row>
    <row r="404" spans="1:55" x14ac:dyDescent="0.25">
      <c r="A404" s="302"/>
      <c r="E404" s="66"/>
      <c r="F404" s="44"/>
      <c r="G404" s="44"/>
      <c r="H404" s="44"/>
      <c r="I404" s="44"/>
      <c r="J404" s="44"/>
      <c r="K404" s="251" t="s">
        <v>203</v>
      </c>
      <c r="L404" s="85"/>
      <c r="M404" s="85"/>
      <c r="N404" s="85"/>
      <c r="O404" s="44"/>
      <c r="V404" s="56" t="s">
        <v>210</v>
      </c>
      <c r="AA404" s="302"/>
      <c r="AC404" s="483"/>
      <c r="AG404" s="66"/>
      <c r="AH404" s="44"/>
      <c r="AI404" s="44"/>
      <c r="AJ404" s="44"/>
      <c r="AK404" s="44"/>
      <c r="AL404" s="44"/>
      <c r="AM404" s="251" t="s">
        <v>203</v>
      </c>
      <c r="AN404" s="85"/>
      <c r="AO404" s="85"/>
      <c r="AP404" s="85"/>
      <c r="AQ404" s="44"/>
      <c r="AX404" s="56" t="s">
        <v>210</v>
      </c>
      <c r="BC404" s="483"/>
    </row>
    <row r="405" spans="1:55" x14ac:dyDescent="0.25">
      <c r="A405" s="302"/>
      <c r="E405" s="97" t="s">
        <v>15</v>
      </c>
      <c r="F405" s="85"/>
      <c r="G405" s="85"/>
      <c r="H405" s="44"/>
      <c r="I405" s="85"/>
      <c r="J405" s="85"/>
      <c r="K405" s="65"/>
      <c r="L405" s="85"/>
      <c r="M405" s="85"/>
      <c r="N405" s="85"/>
      <c r="O405" s="44"/>
      <c r="V405" s="56" t="s">
        <v>210</v>
      </c>
      <c r="AA405" s="302"/>
      <c r="AC405" s="483"/>
      <c r="AG405" s="97" t="s">
        <v>15</v>
      </c>
      <c r="AH405" s="85"/>
      <c r="AI405" s="85"/>
      <c r="AJ405" s="44"/>
      <c r="AK405" s="85"/>
      <c r="AL405" s="85"/>
      <c r="AM405" s="65"/>
      <c r="AN405" s="85"/>
      <c r="AO405" s="85"/>
      <c r="AP405" s="85"/>
      <c r="AQ405" s="44"/>
      <c r="AX405" s="56" t="s">
        <v>210</v>
      </c>
      <c r="BC405" s="483"/>
    </row>
    <row r="406" spans="1:55" x14ac:dyDescent="0.25">
      <c r="A406" s="302"/>
      <c r="E406" s="96" t="s">
        <v>186</v>
      </c>
      <c r="F406" s="84" t="s">
        <v>13</v>
      </c>
      <c r="G406" s="182">
        <f>G397*(44/28)*$U$13</f>
        <v>0</v>
      </c>
      <c r="H406" s="44"/>
      <c r="I406" s="85" t="s">
        <v>175</v>
      </c>
      <c r="J406" s="85"/>
      <c r="K406" s="251" t="s">
        <v>203</v>
      </c>
      <c r="L406" s="85"/>
      <c r="M406" s="85"/>
      <c r="N406" s="85"/>
      <c r="O406" s="44"/>
      <c r="AA406" s="302"/>
      <c r="AC406" s="483"/>
      <c r="AG406" s="96" t="s">
        <v>186</v>
      </c>
      <c r="AH406" s="84" t="s">
        <v>13</v>
      </c>
      <c r="AI406" s="182">
        <f>AI397*(44/28)*$U$13</f>
        <v>12.376025228803613</v>
      </c>
      <c r="AJ406" s="44"/>
      <c r="AK406" s="85" t="s">
        <v>175</v>
      </c>
      <c r="AL406" s="85"/>
      <c r="AM406" s="251" t="s">
        <v>203</v>
      </c>
      <c r="AN406" s="85"/>
      <c r="AO406" s="85"/>
      <c r="AP406" s="85"/>
      <c r="AQ406" s="44"/>
      <c r="BC406" s="483"/>
    </row>
    <row r="407" spans="1:55" x14ac:dyDescent="0.25">
      <c r="A407" s="302"/>
      <c r="E407" s="96" t="s">
        <v>187</v>
      </c>
      <c r="F407" s="84" t="s">
        <v>13</v>
      </c>
      <c r="G407" s="182">
        <f>G398*(44/28)*M380*$U$13</f>
        <v>0.29076016832876717</v>
      </c>
      <c r="H407" s="44"/>
      <c r="I407" s="85" t="s">
        <v>176</v>
      </c>
      <c r="J407" s="85"/>
      <c r="K407" s="251" t="s">
        <v>203</v>
      </c>
      <c r="L407" s="195"/>
      <c r="M407" s="195"/>
      <c r="N407" s="195"/>
      <c r="AA407" s="302"/>
      <c r="AC407" s="483"/>
      <c r="AG407" s="96" t="s">
        <v>187</v>
      </c>
      <c r="AH407" s="84" t="s">
        <v>13</v>
      </c>
      <c r="AI407" s="182">
        <f>AI398*(44/28)*AO380*$U$13</f>
        <v>0.26341141372821669</v>
      </c>
      <c r="AJ407" s="44"/>
      <c r="AK407" s="85" t="s">
        <v>176</v>
      </c>
      <c r="AL407" s="85"/>
      <c r="AM407" s="251" t="s">
        <v>203</v>
      </c>
      <c r="AN407" s="195"/>
      <c r="AO407" s="195"/>
      <c r="AP407" s="195"/>
      <c r="BC407" s="483"/>
    </row>
    <row r="408" spans="1:55" x14ac:dyDescent="0.25">
      <c r="A408" s="302"/>
      <c r="E408" s="96"/>
      <c r="F408" s="84"/>
      <c r="G408" s="182"/>
      <c r="H408" s="44"/>
      <c r="I408" s="85"/>
      <c r="J408" s="85"/>
      <c r="K408" s="251" t="s">
        <v>203</v>
      </c>
      <c r="L408" s="195"/>
      <c r="M408" s="195"/>
      <c r="N408" s="195"/>
      <c r="AA408" s="302"/>
      <c r="AC408" s="483"/>
      <c r="AG408" s="96"/>
      <c r="AH408" s="84"/>
      <c r="AI408" s="182"/>
      <c r="AJ408" s="44"/>
      <c r="AK408" s="85"/>
      <c r="AL408" s="85"/>
      <c r="AM408" s="251" t="s">
        <v>203</v>
      </c>
      <c r="AN408" s="195"/>
      <c r="AO408" s="195"/>
      <c r="AP408" s="195"/>
      <c r="BC408" s="483"/>
    </row>
    <row r="409" spans="1:55" x14ac:dyDescent="0.25">
      <c r="A409" s="302"/>
      <c r="E409" s="97" t="s">
        <v>92</v>
      </c>
      <c r="F409" s="85"/>
      <c r="G409" s="85"/>
      <c r="H409" s="44"/>
      <c r="I409" s="85"/>
      <c r="J409" s="85"/>
      <c r="K409" s="251" t="s">
        <v>203</v>
      </c>
      <c r="L409" s="195"/>
      <c r="M409" s="195"/>
      <c r="N409" s="195"/>
      <c r="AA409" s="302"/>
      <c r="AC409" s="483"/>
      <c r="AG409" s="97" t="s">
        <v>92</v>
      </c>
      <c r="AH409" s="85"/>
      <c r="AI409" s="85"/>
      <c r="AJ409" s="44"/>
      <c r="AK409" s="85"/>
      <c r="AL409" s="85"/>
      <c r="AM409" s="251" t="s">
        <v>203</v>
      </c>
      <c r="AN409" s="195"/>
      <c r="AO409" s="195"/>
      <c r="AP409" s="195"/>
      <c r="BC409" s="483"/>
    </row>
    <row r="410" spans="1:55" x14ac:dyDescent="0.25">
      <c r="A410" s="302"/>
      <c r="E410" s="97" t="s">
        <v>191</v>
      </c>
      <c r="F410" s="84" t="s">
        <v>13</v>
      </c>
      <c r="G410" s="176">
        <f>G401+G406</f>
        <v>0</v>
      </c>
      <c r="H410" s="44"/>
      <c r="I410" s="85"/>
      <c r="J410" s="85"/>
      <c r="K410" s="251" t="s">
        <v>203</v>
      </c>
      <c r="L410" s="195"/>
      <c r="M410" s="195"/>
      <c r="N410" s="195"/>
      <c r="AA410" s="302"/>
      <c r="AC410" s="483"/>
      <c r="AG410" s="97" t="s">
        <v>191</v>
      </c>
      <c r="AH410" s="84" t="s">
        <v>13</v>
      </c>
      <c r="AI410" s="176">
        <f>AI401+AI406</f>
        <v>12.376025228803613</v>
      </c>
      <c r="AJ410" s="44"/>
      <c r="AK410" s="85"/>
      <c r="AL410" s="85"/>
      <c r="AM410" s="251" t="s">
        <v>203</v>
      </c>
      <c r="AN410" s="195"/>
      <c r="AO410" s="195"/>
      <c r="AP410" s="195"/>
      <c r="BC410" s="483"/>
    </row>
    <row r="411" spans="1:55" x14ac:dyDescent="0.25">
      <c r="A411" s="302"/>
      <c r="E411" s="97" t="s">
        <v>192</v>
      </c>
      <c r="F411" s="84" t="s">
        <v>13</v>
      </c>
      <c r="G411" s="176">
        <f>G402+G403+G407</f>
        <v>0.29076016832876717</v>
      </c>
      <c r="H411" s="44"/>
      <c r="I411" s="85"/>
      <c r="J411" s="85"/>
      <c r="K411" s="251" t="s">
        <v>203</v>
      </c>
      <c r="L411" s="195"/>
      <c r="M411" s="195"/>
      <c r="N411" s="195"/>
      <c r="AA411" s="302"/>
      <c r="AC411" s="483"/>
      <c r="AG411" s="97" t="s">
        <v>192</v>
      </c>
      <c r="AH411" s="84" t="s">
        <v>13</v>
      </c>
      <c r="AI411" s="176">
        <f>AI402+AI403+AI407</f>
        <v>0.26341141372821669</v>
      </c>
      <c r="AJ411" s="44"/>
      <c r="AK411" s="85"/>
      <c r="AL411" s="85"/>
      <c r="AM411" s="251" t="s">
        <v>203</v>
      </c>
      <c r="AN411" s="195"/>
      <c r="AO411" s="195"/>
      <c r="AP411" s="195"/>
      <c r="BC411" s="483"/>
    </row>
    <row r="412" spans="1:55" x14ac:dyDescent="0.25">
      <c r="A412" s="302"/>
      <c r="E412" s="115"/>
      <c r="F412" s="24"/>
      <c r="G412" s="24"/>
      <c r="H412" s="24"/>
      <c r="I412" s="24"/>
      <c r="J412" s="24"/>
      <c r="K412" s="253" t="s">
        <v>203</v>
      </c>
      <c r="L412" s="195"/>
      <c r="M412" s="195"/>
      <c r="N412" s="195"/>
      <c r="AA412" s="302"/>
      <c r="AC412" s="483"/>
      <c r="AG412" s="115"/>
      <c r="AH412" s="24"/>
      <c r="AI412" s="24"/>
      <c r="AJ412" s="24"/>
      <c r="AK412" s="24"/>
      <c r="AL412" s="24"/>
      <c r="AM412" s="253" t="s">
        <v>203</v>
      </c>
      <c r="AN412" s="195"/>
      <c r="AO412" s="195"/>
      <c r="AP412" s="195"/>
      <c r="BC412" s="483"/>
    </row>
    <row r="413" spans="1:55" x14ac:dyDescent="0.25">
      <c r="E413" s="44"/>
      <c r="F413" s="44"/>
      <c r="G413" s="44"/>
      <c r="I413" s="44"/>
      <c r="J413" s="44"/>
      <c r="K413" s="208" t="s">
        <v>203</v>
      </c>
      <c r="L413" s="195"/>
      <c r="M413" s="195"/>
      <c r="N413" s="195"/>
      <c r="P413" s="44"/>
      <c r="Q413" s="44"/>
      <c r="R413" s="44"/>
      <c r="S413" s="44"/>
      <c r="T413" s="44"/>
      <c r="U413" s="44" t="s">
        <v>210</v>
      </c>
      <c r="V413" s="44"/>
      <c r="AG413" s="44"/>
      <c r="AH413" s="44"/>
      <c r="AI413" s="44"/>
      <c r="AK413" s="44"/>
      <c r="AL413" s="44"/>
      <c r="AM413" s="208" t="s">
        <v>203</v>
      </c>
      <c r="AN413" s="195"/>
      <c r="AO413" s="195"/>
      <c r="AP413" s="195"/>
      <c r="AR413" s="44"/>
      <c r="AS413" s="44"/>
      <c r="AT413" s="44"/>
      <c r="AU413" s="44"/>
      <c r="AV413" s="44"/>
      <c r="AW413" s="44" t="s">
        <v>210</v>
      </c>
      <c r="AX413" s="44"/>
    </row>
    <row r="414" spans="1:55" x14ac:dyDescent="0.25">
      <c r="A414" s="302"/>
      <c r="B414" s="562" t="str">
        <f>'CH4_Gylle_Stald&amp;Lager'!V293</f>
        <v>Malkekøer, tung race Tyrekalve 0-6 mdr. -tt06</v>
      </c>
      <c r="C414" s="195"/>
      <c r="K414" s="207" t="s">
        <v>203</v>
      </c>
      <c r="L414" s="195"/>
      <c r="M414" s="195"/>
      <c r="N414" s="195"/>
      <c r="Q414" s="577" t="str">
        <f>B414</f>
        <v>Malkekøer, tung race Tyrekalve 0-6 mdr. -tt06</v>
      </c>
      <c r="R414" s="139"/>
      <c r="S414" s="139"/>
      <c r="T414" s="139"/>
      <c r="U414" s="139"/>
      <c r="V414" s="139" t="s">
        <v>210</v>
      </c>
      <c r="W414" s="139"/>
      <c r="X414" s="139"/>
      <c r="Y414" s="139"/>
      <c r="Z414" s="139"/>
      <c r="AA414" s="302"/>
      <c r="AC414" s="483"/>
      <c r="AD414" s="562" t="str">
        <f>'CH4_Gylle_Stald&amp;Lager'!AH293</f>
        <v>Malkekøer, jersey Tyrekalve 0-6 mdr. -jt06</v>
      </c>
      <c r="AE414" s="195"/>
      <c r="AM414" s="207" t="s">
        <v>203</v>
      </c>
      <c r="AN414" s="195"/>
      <c r="AO414" s="195"/>
      <c r="AP414" s="195"/>
      <c r="AS414" s="678" t="str">
        <f>AD414</f>
        <v>Malkekøer, jersey Tyrekalve 0-6 mdr. -jt06</v>
      </c>
      <c r="AT414" s="139"/>
      <c r="AU414" s="139"/>
      <c r="AV414" s="139"/>
      <c r="AW414" s="139"/>
      <c r="AX414" s="139" t="s">
        <v>210</v>
      </c>
      <c r="AY414" s="139"/>
      <c r="AZ414" s="139"/>
      <c r="BA414" s="139"/>
      <c r="BB414" s="139"/>
      <c r="BC414" s="483"/>
    </row>
    <row r="415" spans="1:55" x14ac:dyDescent="0.25">
      <c r="A415" s="302"/>
      <c r="B415" s="135" t="s">
        <v>93</v>
      </c>
      <c r="C415" s="567"/>
      <c r="E415" s="104"/>
      <c r="F415" s="674"/>
      <c r="G415" s="111"/>
      <c r="H415" s="111"/>
      <c r="I415" s="111"/>
      <c r="J415" s="111"/>
      <c r="K415" s="248" t="s">
        <v>203</v>
      </c>
      <c r="L415" s="178"/>
      <c r="M415" s="178" t="s">
        <v>23</v>
      </c>
      <c r="N415" s="200" t="s">
        <v>27</v>
      </c>
      <c r="Q415" s="103"/>
      <c r="R415" s="191"/>
      <c r="S415" s="191"/>
      <c r="T415" s="191"/>
      <c r="U415" s="297"/>
      <c r="V415" s="298" t="s">
        <v>210</v>
      </c>
      <c r="W415" s="178"/>
      <c r="X415" s="178" t="s">
        <v>23</v>
      </c>
      <c r="Y415" s="200" t="s">
        <v>27</v>
      </c>
      <c r="Z415" s="139"/>
      <c r="AA415" s="302"/>
      <c r="AC415" s="483"/>
      <c r="AD415" s="135" t="s">
        <v>93</v>
      </c>
      <c r="AE415" s="567"/>
      <c r="AG415" s="104"/>
      <c r="AH415" s="674"/>
      <c r="AI415" s="111"/>
      <c r="AJ415" s="111"/>
      <c r="AK415" s="111"/>
      <c r="AL415" s="111"/>
      <c r="AM415" s="248" t="s">
        <v>203</v>
      </c>
      <c r="AN415" s="178"/>
      <c r="AO415" s="178" t="s">
        <v>23</v>
      </c>
      <c r="AP415" s="200" t="s">
        <v>27</v>
      </c>
      <c r="AS415" s="103"/>
      <c r="AT415" s="191"/>
      <c r="AU415" s="191"/>
      <c r="AV415" s="191"/>
      <c r="AW415" s="297"/>
      <c r="AX415" s="298" t="s">
        <v>210</v>
      </c>
      <c r="AY415" s="178"/>
      <c r="AZ415" s="178" t="s">
        <v>23</v>
      </c>
      <c r="BA415" s="200" t="s">
        <v>27</v>
      </c>
      <c r="BB415" s="139"/>
      <c r="BC415" s="483"/>
    </row>
    <row r="416" spans="1:55" x14ac:dyDescent="0.25">
      <c r="A416" s="302"/>
      <c r="B416" s="136" t="s">
        <v>81</v>
      </c>
      <c r="C416" s="575">
        <f>'CH4_Gylle_Stald&amp;Lager'!X296</f>
        <v>0</v>
      </c>
      <c r="E416" s="105" t="s">
        <v>231</v>
      </c>
      <c r="F416" s="123"/>
      <c r="G416" s="123"/>
      <c r="H416" s="123"/>
      <c r="I416" s="123"/>
      <c r="J416" s="123"/>
      <c r="K416" s="249" t="s">
        <v>203</v>
      </c>
      <c r="L416" s="175" t="s">
        <v>236</v>
      </c>
      <c r="M416" s="44"/>
      <c r="N416" s="65"/>
      <c r="Q416" s="255" t="s">
        <v>241</v>
      </c>
      <c r="R416" s="675">
        <f>F415</f>
        <v>0</v>
      </c>
      <c r="S416" s="192"/>
      <c r="T416" s="192"/>
      <c r="U416" s="192"/>
      <c r="V416" s="243"/>
      <c r="W416" s="175" t="s">
        <v>361</v>
      </c>
      <c r="X416" s="85"/>
      <c r="Y416" s="186"/>
      <c r="Z416" s="139"/>
      <c r="AA416" s="302"/>
      <c r="AC416" s="483"/>
      <c r="AD416" s="136" t="s">
        <v>81</v>
      </c>
      <c r="AE416" s="575">
        <f>'CH4_Gylle_Stald&amp;Lager'!AJ296</f>
        <v>0</v>
      </c>
      <c r="AG416" s="105" t="s">
        <v>231</v>
      </c>
      <c r="AH416" s="123"/>
      <c r="AI416" s="123"/>
      <c r="AJ416" s="123"/>
      <c r="AK416" s="123"/>
      <c r="AL416" s="123"/>
      <c r="AM416" s="249" t="s">
        <v>203</v>
      </c>
      <c r="AN416" s="175" t="s">
        <v>236</v>
      </c>
      <c r="AO416" s="44"/>
      <c r="AP416" s="65"/>
      <c r="AS416" s="255" t="s">
        <v>241</v>
      </c>
      <c r="AT416" s="675">
        <f>AH415</f>
        <v>0</v>
      </c>
      <c r="AU416" s="192"/>
      <c r="AV416" s="192"/>
      <c r="AW416" s="192"/>
      <c r="AX416" s="243"/>
      <c r="AY416" s="175" t="s">
        <v>361</v>
      </c>
      <c r="AZ416" s="85"/>
      <c r="BA416" s="186"/>
      <c r="BB416" s="139"/>
      <c r="BC416" s="483"/>
    </row>
    <row r="417" spans="1:55" x14ac:dyDescent="0.25">
      <c r="A417" s="302"/>
      <c r="B417" s="137" t="s">
        <v>82</v>
      </c>
      <c r="C417" s="576">
        <f>'CH4_Gylle_Stald&amp;Lager'!X297</f>
        <v>0</v>
      </c>
      <c r="E417" s="106"/>
      <c r="F417" s="676" t="s">
        <v>26</v>
      </c>
      <c r="G417" s="112"/>
      <c r="H417" s="112"/>
      <c r="I417" s="112"/>
      <c r="J417" s="112"/>
      <c r="K417" s="250" t="s">
        <v>203</v>
      </c>
      <c r="L417" s="44" t="s">
        <v>170</v>
      </c>
      <c r="M417" s="44">
        <f>INDEX($E$4:$N$19,MATCH(F416,$E$4:$E$19, 0),3)</f>
        <v>0</v>
      </c>
      <c r="N417" s="65">
        <f>INDEX($E$4:$N$19,MATCH(F416,$E$4:$E$19, 0),4)</f>
        <v>0</v>
      </c>
      <c r="Q417" s="255" t="s">
        <v>242</v>
      </c>
      <c r="R417" s="675" t="str">
        <f>F417</f>
        <v>Dybstrøelse (hele arealet)</v>
      </c>
      <c r="S417" s="192"/>
      <c r="T417" s="192"/>
      <c r="U417" s="192"/>
      <c r="V417" s="243"/>
      <c r="W417" s="44" t="s">
        <v>170</v>
      </c>
      <c r="X417" s="44">
        <f>INDEX($E$22:$N$24,MATCH(R418,$E$22:$E$24, 0),3)</f>
        <v>0</v>
      </c>
      <c r="Y417" s="65">
        <f>INDEX($E$22:$N$24,MATCH(R418,$E$22:$E$24, 0),4)</f>
        <v>0</v>
      </c>
      <c r="Z417" s="139"/>
      <c r="AA417" s="302"/>
      <c r="AC417" s="483"/>
      <c r="AD417" s="137" t="s">
        <v>82</v>
      </c>
      <c r="AE417" s="576">
        <f>'CH4_Gylle_Stald&amp;Lager'!AJ297</f>
        <v>0</v>
      </c>
      <c r="AG417" s="106"/>
      <c r="AH417" s="676" t="s">
        <v>26</v>
      </c>
      <c r="AI417" s="112"/>
      <c r="AJ417" s="112"/>
      <c r="AK417" s="112"/>
      <c r="AL417" s="112"/>
      <c r="AM417" s="250" t="s">
        <v>203</v>
      </c>
      <c r="AN417" s="44" t="s">
        <v>170</v>
      </c>
      <c r="AO417" s="44">
        <f>INDEX($E$4:$N$19,MATCH(AH416,$E$4:$E$19, 0),3)</f>
        <v>0</v>
      </c>
      <c r="AP417" s="65">
        <f>INDEX($E$4:$N$19,MATCH(AH416,$E$4:$E$19, 0),4)</f>
        <v>0</v>
      </c>
      <c r="AS417" s="255" t="s">
        <v>242</v>
      </c>
      <c r="AT417" s="675" t="str">
        <f>AH417</f>
        <v>Dybstrøelse (hele arealet)</v>
      </c>
      <c r="AU417" s="192"/>
      <c r="AV417" s="192"/>
      <c r="AW417" s="192"/>
      <c r="AX417" s="243"/>
      <c r="AY417" s="44" t="s">
        <v>170</v>
      </c>
      <c r="AZ417" s="44">
        <f>INDEX($E$22:$N$24,MATCH(AT418,$E$22:$E$24, 0),3)</f>
        <v>0</v>
      </c>
      <c r="BA417" s="65">
        <f>INDEX($E$22:$N$24,MATCH(AT418,$E$22:$E$24, 0),4)</f>
        <v>0</v>
      </c>
      <c r="BB417" s="139"/>
      <c r="BC417" s="483"/>
    </row>
    <row r="418" spans="1:55" x14ac:dyDescent="0.25">
      <c r="A418" s="303"/>
      <c r="B418" s="138"/>
      <c r="C418" s="568"/>
      <c r="E418" s="43"/>
      <c r="F418" s="294" t="s">
        <v>5</v>
      </c>
      <c r="G418" s="295" t="s">
        <v>6</v>
      </c>
      <c r="H418" s="296" t="s">
        <v>356</v>
      </c>
      <c r="I418" s="44"/>
      <c r="J418" s="44"/>
      <c r="K418" s="251" t="s">
        <v>203</v>
      </c>
      <c r="L418" s="44" t="s">
        <v>2</v>
      </c>
      <c r="M418" s="44"/>
      <c r="N418" s="65">
        <f>INDEX($E$4:$N$19,MATCH(F416,$E$4:$E$19, 0),7)</f>
        <v>0</v>
      </c>
      <c r="Q418" s="255" t="s">
        <v>360</v>
      </c>
      <c r="R418" s="675"/>
      <c r="S418" s="192"/>
      <c r="T418" s="192"/>
      <c r="U418" s="192"/>
      <c r="V418" s="243"/>
      <c r="W418" s="44" t="s">
        <v>1</v>
      </c>
      <c r="X418" s="44">
        <f>INDEX($E$22:$N$24,MATCH(R418,$E$22:$E$24, 0),6)</f>
        <v>0</v>
      </c>
      <c r="Y418" s="65"/>
      <c r="Z418" s="139"/>
      <c r="AA418" s="303"/>
      <c r="AC418" s="484"/>
      <c r="AD418" s="138"/>
      <c r="AE418" s="568"/>
      <c r="AG418" s="43"/>
      <c r="AH418" s="294" t="s">
        <v>5</v>
      </c>
      <c r="AI418" s="295" t="s">
        <v>6</v>
      </c>
      <c r="AJ418" s="296" t="s">
        <v>356</v>
      </c>
      <c r="AK418" s="44"/>
      <c r="AL418" s="44"/>
      <c r="AM418" s="251" t="s">
        <v>203</v>
      </c>
      <c r="AN418" s="44" t="s">
        <v>2</v>
      </c>
      <c r="AO418" s="44"/>
      <c r="AP418" s="65">
        <f>INDEX($E$4:$N$19,MATCH(AH416,$E$4:$E$19, 0),7)</f>
        <v>0</v>
      </c>
      <c r="AS418" s="255" t="s">
        <v>360</v>
      </c>
      <c r="AT418" s="675"/>
      <c r="AU418" s="192"/>
      <c r="AV418" s="192"/>
      <c r="AW418" s="192"/>
      <c r="AX418" s="243"/>
      <c r="AY418" s="44" t="s">
        <v>1</v>
      </c>
      <c r="AZ418" s="44">
        <f>INDEX($E$22:$N$24,MATCH(AT418,$E$22:$E$24, 0),6)</f>
        <v>0</v>
      </c>
      <c r="BA418" s="65"/>
      <c r="BB418" s="139"/>
      <c r="BC418" s="484"/>
    </row>
    <row r="419" spans="1:55" x14ac:dyDescent="0.25">
      <c r="A419" s="303"/>
      <c r="B419" s="229" t="s">
        <v>221</v>
      </c>
      <c r="C419" s="569"/>
      <c r="E419" s="66" t="s">
        <v>101</v>
      </c>
      <c r="F419" s="305">
        <f>INDEX(Normtal!$Q$3:$AC$551,MATCH(B414,Normtal!$Q$3:$Q$551,0),3)</f>
        <v>12.6</v>
      </c>
      <c r="G419" s="281"/>
      <c r="H419" s="285">
        <f>INDEX(Normtal!$Q$3:$AC$551,MATCH(B414,Normtal!$Q$3:$Q$551,0),4)</f>
        <v>8.1</v>
      </c>
      <c r="I419" s="85"/>
      <c r="J419" s="44"/>
      <c r="K419" s="251" t="s">
        <v>203</v>
      </c>
      <c r="L419" s="44" t="s">
        <v>1</v>
      </c>
      <c r="M419" s="44">
        <f>INDEX($E$4:$N$19,MATCH(F416,$E$4:$E$19, 0),6)</f>
        <v>0</v>
      </c>
      <c r="N419" s="65"/>
      <c r="Q419" s="299" t="s">
        <v>359</v>
      </c>
      <c r="R419" s="676" t="s">
        <v>135</v>
      </c>
      <c r="S419" s="194"/>
      <c r="T419" s="194"/>
      <c r="U419" s="194"/>
      <c r="V419" s="241"/>
      <c r="W419" s="44" t="s">
        <v>2</v>
      </c>
      <c r="X419" s="44"/>
      <c r="Y419" s="65">
        <f>INDEX($E$22:$N$24,MATCH(R418,$E$22:$E$24, 0),7)</f>
        <v>0</v>
      </c>
      <c r="Z419" s="139"/>
      <c r="AA419" s="303"/>
      <c r="AC419" s="484"/>
      <c r="AD419" s="229" t="s">
        <v>221</v>
      </c>
      <c r="AE419" s="569"/>
      <c r="AG419" s="66" t="s">
        <v>101</v>
      </c>
      <c r="AH419" s="305">
        <f>INDEX(Normtal!$Q$3:$AC$551,MATCH(AD414,Normtal!$Q$3:$Q$551,0),3)</f>
        <v>9.1</v>
      </c>
      <c r="AI419" s="281"/>
      <c r="AJ419" s="285">
        <f>INDEX(Normtal!$Q$3:$AC$551,MATCH(AD414,Normtal!$Q$3:$Q$551,0),4)</f>
        <v>6</v>
      </c>
      <c r="AK419" s="85"/>
      <c r="AL419" s="44"/>
      <c r="AM419" s="251" t="s">
        <v>203</v>
      </c>
      <c r="AN419" s="44" t="s">
        <v>1</v>
      </c>
      <c r="AO419" s="44">
        <f>INDEX($E$4:$N$19,MATCH(AH416,$E$4:$E$19, 0),6)</f>
        <v>0</v>
      </c>
      <c r="AP419" s="65"/>
      <c r="AS419" s="299" t="s">
        <v>359</v>
      </c>
      <c r="AT419" s="676" t="s">
        <v>135</v>
      </c>
      <c r="AU419" s="194"/>
      <c r="AV419" s="194"/>
      <c r="AW419" s="194"/>
      <c r="AX419" s="241"/>
      <c r="AY419" s="44" t="s">
        <v>2</v>
      </c>
      <c r="AZ419" s="44"/>
      <c r="BA419" s="65">
        <f>INDEX($E$22:$N$24,MATCH(AT418,$E$22:$E$24, 0),7)</f>
        <v>0</v>
      </c>
      <c r="BB419" s="139"/>
      <c r="BC419" s="484"/>
    </row>
    <row r="420" spans="1:55" x14ac:dyDescent="0.25">
      <c r="A420" s="303"/>
      <c r="B420" s="231" t="s">
        <v>224</v>
      </c>
      <c r="C420" s="574">
        <f>'CH4_Gylle_Stald&amp;Lager'!X300</f>
        <v>0</v>
      </c>
      <c r="E420" s="66" t="s">
        <v>103</v>
      </c>
      <c r="F420" s="305">
        <f>F419*(C416/365)*(C417/24)</f>
        <v>0</v>
      </c>
      <c r="G420" s="281"/>
      <c r="H420" s="285">
        <f>H419*(C416/365)*(C417/24)</f>
        <v>0</v>
      </c>
      <c r="I420" s="44" t="s">
        <v>357</v>
      </c>
      <c r="J420" s="44"/>
      <c r="K420" s="251" t="s">
        <v>203</v>
      </c>
      <c r="L420" s="175" t="s">
        <v>237</v>
      </c>
      <c r="M420" s="44"/>
      <c r="N420" s="65"/>
      <c r="Q420" s="118"/>
      <c r="R420" s="119"/>
      <c r="S420" s="119"/>
      <c r="T420" s="119"/>
      <c r="U420" s="119"/>
      <c r="V420" s="124"/>
      <c r="W420" s="56" t="s">
        <v>177</v>
      </c>
      <c r="X420" s="310">
        <f>$J$26</f>
        <v>0.5</v>
      </c>
      <c r="Z420" s="139"/>
      <c r="AA420" s="303"/>
      <c r="AC420" s="484"/>
      <c r="AD420" s="231" t="s">
        <v>224</v>
      </c>
      <c r="AE420" s="574">
        <f>'CH4_Gylle_Stald&amp;Lager'!AJ300</f>
        <v>0</v>
      </c>
      <c r="AG420" s="66" t="s">
        <v>103</v>
      </c>
      <c r="AH420" s="305">
        <f>AH419*(AE416/365)*(AE417/24)</f>
        <v>0</v>
      </c>
      <c r="AI420" s="281"/>
      <c r="AJ420" s="285">
        <f>AJ419*(AE416/365)*(AE417/24)</f>
        <v>0</v>
      </c>
      <c r="AK420" s="44" t="s">
        <v>357</v>
      </c>
      <c r="AL420" s="44"/>
      <c r="AM420" s="251" t="s">
        <v>203</v>
      </c>
      <c r="AN420" s="175" t="s">
        <v>237</v>
      </c>
      <c r="AO420" s="44"/>
      <c r="AP420" s="65"/>
      <c r="AS420" s="118"/>
      <c r="AT420" s="119"/>
      <c r="AU420" s="119"/>
      <c r="AV420" s="119"/>
      <c r="AW420" s="119"/>
      <c r="AX420" s="124"/>
      <c r="AY420" s="56" t="s">
        <v>177</v>
      </c>
      <c r="AZ420" s="310">
        <f>$J$26</f>
        <v>0.5</v>
      </c>
      <c r="BB420" s="139"/>
      <c r="BC420" s="484"/>
    </row>
    <row r="421" spans="1:55" x14ac:dyDescent="0.25">
      <c r="A421" s="303"/>
      <c r="B421" s="233" t="s">
        <v>223</v>
      </c>
      <c r="C421" s="570">
        <f>(365-C416*C417/24)*C420</f>
        <v>0</v>
      </c>
      <c r="D421" s="254"/>
      <c r="E421" s="66" t="s">
        <v>104</v>
      </c>
      <c r="F421" s="306">
        <f>F419-F420</f>
        <v>12.6</v>
      </c>
      <c r="G421" s="289"/>
      <c r="H421" s="287">
        <f>H419-H420</f>
        <v>8.1</v>
      </c>
      <c r="I421" s="44" t="s">
        <v>358</v>
      </c>
      <c r="J421" s="44"/>
      <c r="K421" s="251" t="s">
        <v>203</v>
      </c>
      <c r="L421" s="99" t="s">
        <v>170</v>
      </c>
      <c r="M421" s="85">
        <f>INDEX($E$4:$N$19,MATCH(F417,$E$4:$E$19, 0),3)</f>
        <v>0</v>
      </c>
      <c r="N421" s="186">
        <f>INDEX($E$4:$N$19,MATCH(F417,$E$4:$E$19, 0),4)</f>
        <v>1</v>
      </c>
      <c r="Q421" s="96" t="s">
        <v>139</v>
      </c>
      <c r="R421" s="85"/>
      <c r="S421" s="85"/>
      <c r="T421" s="85"/>
      <c r="U421" s="85"/>
      <c r="V421" s="186" t="s">
        <v>210</v>
      </c>
      <c r="W421" s="175" t="s">
        <v>364</v>
      </c>
      <c r="X421" s="44"/>
      <c r="Y421" s="65"/>
      <c r="Z421" s="139"/>
      <c r="AA421" s="303"/>
      <c r="AC421" s="484"/>
      <c r="AD421" s="233" t="s">
        <v>223</v>
      </c>
      <c r="AE421" s="570">
        <f>(365-AE416*AE417/24)*AE420</f>
        <v>0</v>
      </c>
      <c r="AF421" s="254"/>
      <c r="AG421" s="66" t="s">
        <v>104</v>
      </c>
      <c r="AH421" s="306">
        <f>AH419-AH420</f>
        <v>9.1</v>
      </c>
      <c r="AI421" s="289"/>
      <c r="AJ421" s="287">
        <f>AJ419-AJ420</f>
        <v>6</v>
      </c>
      <c r="AK421" s="44" t="s">
        <v>358</v>
      </c>
      <c r="AL421" s="44"/>
      <c r="AM421" s="251" t="s">
        <v>203</v>
      </c>
      <c r="AN421" s="99" t="s">
        <v>170</v>
      </c>
      <c r="AO421" s="85">
        <f>INDEX($E$4:$N$19,MATCH(AH417,$E$4:$E$19, 0),3)</f>
        <v>0</v>
      </c>
      <c r="AP421" s="186">
        <f>INDEX($E$4:$N$19,MATCH(AH417,$E$4:$E$19, 0),4)</f>
        <v>1</v>
      </c>
      <c r="AS421" s="96" t="s">
        <v>139</v>
      </c>
      <c r="AT421" s="85"/>
      <c r="AU421" s="85"/>
      <c r="AV421" s="85"/>
      <c r="AW421" s="85"/>
      <c r="AX421" s="186" t="s">
        <v>210</v>
      </c>
      <c r="AY421" s="175" t="s">
        <v>364</v>
      </c>
      <c r="AZ421" s="44"/>
      <c r="BA421" s="65"/>
      <c r="BB421" s="139"/>
      <c r="BC421" s="484"/>
    </row>
    <row r="422" spans="1:55" x14ac:dyDescent="0.25">
      <c r="A422" s="303"/>
      <c r="B422" s="231" t="s">
        <v>222</v>
      </c>
      <c r="C422" s="573"/>
      <c r="E422" s="66"/>
      <c r="F422" s="677"/>
      <c r="G422" s="221"/>
      <c r="H422" s="291"/>
      <c r="I422" s="44"/>
      <c r="J422" s="44"/>
      <c r="K422" s="65"/>
      <c r="L422" s="85" t="s">
        <v>2</v>
      </c>
      <c r="M422" s="85"/>
      <c r="N422" s="186">
        <f>INDEX($E$4:$N$19,MATCH(F417,$E$4:$E$19, 0),7)</f>
        <v>6</v>
      </c>
      <c r="Q422" s="66"/>
      <c r="R422" s="44"/>
      <c r="S422" s="44"/>
      <c r="T422" s="85"/>
      <c r="U422" s="85"/>
      <c r="V422" s="186" t="s">
        <v>210</v>
      </c>
      <c r="W422" s="99" t="s">
        <v>170</v>
      </c>
      <c r="X422" s="85">
        <f>INDEX($E$22:$N$24,MATCH(R419,$E$22:$E$24, 0),3)</f>
        <v>0</v>
      </c>
      <c r="Y422" s="186">
        <f>INDEX($E$22:$N$24,MATCH(R419,$E$22:$E$24, 0),4)</f>
        <v>1</v>
      </c>
      <c r="Z422" s="139"/>
      <c r="AA422" s="303"/>
      <c r="AC422" s="484"/>
      <c r="AD422" s="231" t="s">
        <v>222</v>
      </c>
      <c r="AE422" s="573"/>
      <c r="AG422" s="66"/>
      <c r="AH422" s="677"/>
      <c r="AI422" s="221"/>
      <c r="AJ422" s="291"/>
      <c r="AK422" s="44"/>
      <c r="AL422" s="44"/>
      <c r="AM422" s="65"/>
      <c r="AN422" s="85" t="s">
        <v>2</v>
      </c>
      <c r="AO422" s="85"/>
      <c r="AP422" s="186">
        <f>INDEX($E$4:$N$19,MATCH(AH417,$E$4:$E$19, 0),7)</f>
        <v>6</v>
      </c>
      <c r="AS422" s="66"/>
      <c r="AT422" s="44"/>
      <c r="AU422" s="44"/>
      <c r="AV422" s="85"/>
      <c r="AW422" s="85"/>
      <c r="AX422" s="186" t="s">
        <v>210</v>
      </c>
      <c r="AY422" s="99" t="s">
        <v>170</v>
      </c>
      <c r="AZ422" s="85">
        <f>INDEX($E$22:$N$24,MATCH(AT419,$E$22:$E$24, 0),3)</f>
        <v>0</v>
      </c>
      <c r="BA422" s="186">
        <f>INDEX($E$22:$N$24,MATCH(AT419,$E$22:$E$24, 0),4)</f>
        <v>1</v>
      </c>
      <c r="BB422" s="139"/>
      <c r="BC422" s="484"/>
    </row>
    <row r="423" spans="1:55" x14ac:dyDescent="0.25">
      <c r="A423" s="303"/>
      <c r="B423" s="231" t="s">
        <v>224</v>
      </c>
      <c r="C423" s="571">
        <f>1-C420</f>
        <v>1</v>
      </c>
      <c r="E423" s="66" t="s">
        <v>232</v>
      </c>
      <c r="F423" s="305">
        <f>F421*C420*1</f>
        <v>0</v>
      </c>
      <c r="G423" s="281"/>
      <c r="H423" s="286"/>
      <c r="I423" s="246" t="str">
        <f>INDEX($E$4:$N$19,MATCH(F417,$E$4:$E$19, 0),2)</f>
        <v>100 % dybstrøelsessystem</v>
      </c>
      <c r="J423" s="246"/>
      <c r="K423" s="251" t="s">
        <v>203</v>
      </c>
      <c r="L423" s="99" t="s">
        <v>1</v>
      </c>
      <c r="M423" s="85">
        <f>INDEX($E$4:$N$19,MATCH(F417,$E$4:$E$19, 0),6)</f>
        <v>0</v>
      </c>
      <c r="N423" s="65"/>
      <c r="Q423" s="211" t="s">
        <v>371</v>
      </c>
      <c r="R423" s="85" t="s">
        <v>10</v>
      </c>
      <c r="S423" s="176">
        <f>_xlfn.AGGREGATE(9,6, F423:G423)</f>
        <v>0</v>
      </c>
      <c r="T423" s="85"/>
      <c r="U423" s="44"/>
      <c r="V423" s="65"/>
      <c r="W423" s="99" t="s">
        <v>1</v>
      </c>
      <c r="X423" s="85">
        <f>INDEX($E$22:$N$24,MATCH(R419,$E$22:$E$24, 0),6)</f>
        <v>0</v>
      </c>
      <c r="Y423" s="186"/>
      <c r="Z423" s="139"/>
      <c r="AA423" s="303"/>
      <c r="AC423" s="484"/>
      <c r="AD423" s="231" t="s">
        <v>224</v>
      </c>
      <c r="AE423" s="571">
        <f>1-AE420</f>
        <v>1</v>
      </c>
      <c r="AG423" s="66" t="s">
        <v>232</v>
      </c>
      <c r="AH423" s="305">
        <f>AH421*AE420*1</f>
        <v>0</v>
      </c>
      <c r="AI423" s="281"/>
      <c r="AJ423" s="286"/>
      <c r="AK423" s="246" t="str">
        <f>INDEX($E$4:$N$19,MATCH(AH417,$E$4:$E$19, 0),2)</f>
        <v>100 % dybstrøelsessystem</v>
      </c>
      <c r="AL423" s="246"/>
      <c r="AM423" s="251" t="s">
        <v>203</v>
      </c>
      <c r="AN423" s="99" t="s">
        <v>1</v>
      </c>
      <c r="AO423" s="85">
        <f>INDEX($E$4:$N$19,MATCH(AH417,$E$4:$E$19, 0),6)</f>
        <v>0</v>
      </c>
      <c r="AP423" s="65"/>
      <c r="AS423" s="211" t="s">
        <v>371</v>
      </c>
      <c r="AT423" s="85" t="s">
        <v>10</v>
      </c>
      <c r="AU423" s="176">
        <f>_xlfn.AGGREGATE(9,6, AH423:AI423)</f>
        <v>0</v>
      </c>
      <c r="AV423" s="85"/>
      <c r="AW423" s="44"/>
      <c r="AX423" s="65"/>
      <c r="AY423" s="99" t="s">
        <v>1</v>
      </c>
      <c r="AZ423" s="85">
        <f>INDEX($E$22:$N$24,MATCH(AT419,$E$22:$E$24, 0),6)</f>
        <v>0</v>
      </c>
      <c r="BA423" s="186"/>
      <c r="BB423" s="139"/>
      <c r="BC423" s="484"/>
    </row>
    <row r="424" spans="1:55" x14ac:dyDescent="0.25">
      <c r="A424" s="302"/>
      <c r="B424" s="233" t="s">
        <v>81</v>
      </c>
      <c r="C424" s="570">
        <f>(365-C416*C417/24)*C423</f>
        <v>365</v>
      </c>
      <c r="E424" s="66" t="s">
        <v>102</v>
      </c>
      <c r="F424" s="305" t="e">
        <f>INDEX(Normtal!$Q$3:$AC$551,MATCH(F422,Normtal!$AA$3:$AA$551, 0),6)*C421/365</f>
        <v>#N/A</v>
      </c>
      <c r="G424" s="283"/>
      <c r="H424" s="286"/>
      <c r="I424" s="44"/>
      <c r="J424" s="44"/>
      <c r="K424" s="65"/>
      <c r="L424" s="175" t="s">
        <v>363</v>
      </c>
      <c r="M424" s="44"/>
      <c r="N424" s="65"/>
      <c r="Q424" s="211" t="s">
        <v>243</v>
      </c>
      <c r="R424" s="85" t="s">
        <v>10</v>
      </c>
      <c r="S424" s="176">
        <f>_xlfn.AGGREGATE(9,6, F424:G424)</f>
        <v>0</v>
      </c>
      <c r="T424" s="85"/>
      <c r="U424" s="85"/>
      <c r="V424" s="186" t="s">
        <v>210</v>
      </c>
      <c r="W424" s="85" t="s">
        <v>2</v>
      </c>
      <c r="X424" s="85"/>
      <c r="Y424" s="186">
        <f>INDEX($E$22:$N$24,MATCH(R419,$E$22:$E$24, 0),7)</f>
        <v>3</v>
      </c>
      <c r="Z424" s="139"/>
      <c r="AA424" s="302"/>
      <c r="AC424" s="483"/>
      <c r="AD424" s="233" t="s">
        <v>81</v>
      </c>
      <c r="AE424" s="570">
        <f>(365-AE416*AE417/24)*AE423</f>
        <v>365</v>
      </c>
      <c r="AG424" s="66" t="s">
        <v>102</v>
      </c>
      <c r="AH424" s="305" t="e">
        <f>INDEX(Normtal!$Q$3:$AC$551,MATCH(AH422,Normtal!$AA$3:$AA$551, 0),6)*AE421/365</f>
        <v>#N/A</v>
      </c>
      <c r="AI424" s="283"/>
      <c r="AJ424" s="286"/>
      <c r="AK424" s="44"/>
      <c r="AL424" s="44"/>
      <c r="AM424" s="65"/>
      <c r="AN424" s="175" t="s">
        <v>363</v>
      </c>
      <c r="AO424" s="44"/>
      <c r="AP424" s="65"/>
      <c r="AS424" s="211" t="s">
        <v>243</v>
      </c>
      <c r="AT424" s="85" t="s">
        <v>10</v>
      </c>
      <c r="AU424" s="176">
        <f>_xlfn.AGGREGATE(9,6, AH424:AI424)</f>
        <v>0</v>
      </c>
      <c r="AV424" s="85"/>
      <c r="AW424" s="85"/>
      <c r="AX424" s="186" t="s">
        <v>210</v>
      </c>
      <c r="AY424" s="85" t="s">
        <v>2</v>
      </c>
      <c r="AZ424" s="85"/>
      <c r="BA424" s="186">
        <f>INDEX($E$22:$N$24,MATCH(AT419,$E$22:$E$24, 0),7)</f>
        <v>3</v>
      </c>
      <c r="BB424" s="139"/>
      <c r="BC424" s="483"/>
    </row>
    <row r="425" spans="1:55" x14ac:dyDescent="0.25">
      <c r="A425" s="302"/>
      <c r="C425" s="195"/>
      <c r="E425" s="66" t="s">
        <v>235</v>
      </c>
      <c r="F425" s="307" t="e">
        <f>INDEX(Normtal!$Q$3:$AC$551,MATCH(F422,Normtal!$AA$3:$AA$551, 0),4)*C421/365</f>
        <v>#N/A</v>
      </c>
      <c r="G425" s="247"/>
      <c r="H425" s="285">
        <f>H421*C420</f>
        <v>0</v>
      </c>
      <c r="I425" s="44"/>
      <c r="J425" s="44"/>
      <c r="K425" s="251"/>
      <c r="L425" s="44" t="s">
        <v>362</v>
      </c>
      <c r="M425" s="44">
        <f>$J$26</f>
        <v>0.5</v>
      </c>
      <c r="N425" s="65"/>
      <c r="Q425" s="211" t="s">
        <v>365</v>
      </c>
      <c r="R425" s="85" t="s">
        <v>10</v>
      </c>
      <c r="S425" s="176">
        <f>-_xlfn.AGGREGATE(9,6,G441:G442)</f>
        <v>0</v>
      </c>
      <c r="T425" s="85"/>
      <c r="U425" s="85"/>
      <c r="V425" s="186" t="s">
        <v>210</v>
      </c>
      <c r="W425" s="86" t="s">
        <v>363</v>
      </c>
      <c r="X425" s="85"/>
      <c r="Y425" s="186"/>
      <c r="Z425" s="139"/>
      <c r="AA425" s="302"/>
      <c r="AC425" s="483"/>
      <c r="AE425" s="195"/>
      <c r="AG425" s="66" t="s">
        <v>235</v>
      </c>
      <c r="AH425" s="307" t="e">
        <f>INDEX(Normtal!$Q$3:$AC$551,MATCH(AH422,Normtal!$AA$3:$AA$551, 0),4)*AE421/365</f>
        <v>#N/A</v>
      </c>
      <c r="AI425" s="247"/>
      <c r="AJ425" s="285">
        <f>AJ421*AE420</f>
        <v>0</v>
      </c>
      <c r="AK425" s="44"/>
      <c r="AL425" s="44"/>
      <c r="AM425" s="251"/>
      <c r="AN425" s="44" t="s">
        <v>362</v>
      </c>
      <c r="AO425" s="44">
        <f>$J$26</f>
        <v>0.5</v>
      </c>
      <c r="AP425" s="65"/>
      <c r="AS425" s="211" t="s">
        <v>365</v>
      </c>
      <c r="AT425" s="85" t="s">
        <v>10</v>
      </c>
      <c r="AU425" s="176">
        <f>-_xlfn.AGGREGATE(9,6,AI441:AI442)</f>
        <v>0</v>
      </c>
      <c r="AV425" s="85"/>
      <c r="AW425" s="85"/>
      <c r="AX425" s="186" t="s">
        <v>210</v>
      </c>
      <c r="AY425" s="86" t="s">
        <v>363</v>
      </c>
      <c r="AZ425" s="85"/>
      <c r="BA425" s="186"/>
      <c r="BB425" s="139"/>
      <c r="BC425" s="483"/>
    </row>
    <row r="426" spans="1:55" ht="30" x14ac:dyDescent="0.25">
      <c r="A426" s="302"/>
      <c r="B426" s="257" t="s">
        <v>245</v>
      </c>
      <c r="C426" s="572">
        <f>'CH4_Gylle_Stald&amp;Lager'!X306</f>
        <v>0</v>
      </c>
      <c r="E426" s="66"/>
      <c r="F426" s="290"/>
      <c r="G426" s="290"/>
      <c r="H426" s="292"/>
      <c r="I426" s="44"/>
      <c r="J426" s="44"/>
      <c r="K426" s="251" t="s">
        <v>203</v>
      </c>
      <c r="L426" s="44" t="s">
        <v>171</v>
      </c>
      <c r="M426" s="44">
        <f>$J$27</f>
        <v>-0.5</v>
      </c>
      <c r="N426" s="65"/>
      <c r="Q426" s="211" t="s">
        <v>367</v>
      </c>
      <c r="R426" s="85" t="s">
        <v>10</v>
      </c>
      <c r="S426" s="176">
        <f>-_xlfn.AGGREGATE(9,6,G443,G444)</f>
        <v>0</v>
      </c>
      <c r="T426" s="85"/>
      <c r="U426" s="85"/>
      <c r="V426" s="186"/>
      <c r="W426" s="99" t="s">
        <v>171</v>
      </c>
      <c r="X426" s="85">
        <f>$J$27</f>
        <v>-0.5</v>
      </c>
      <c r="Y426" s="186"/>
      <c r="Z426" s="139"/>
      <c r="AA426" s="302"/>
      <c r="AC426" s="483"/>
      <c r="AD426" s="257" t="s">
        <v>245</v>
      </c>
      <c r="AE426" s="572">
        <f>'CH4_Gylle_Stald&amp;Lager'!AJ306</f>
        <v>0</v>
      </c>
      <c r="AG426" s="66"/>
      <c r="AH426" s="290"/>
      <c r="AI426" s="290"/>
      <c r="AJ426" s="292"/>
      <c r="AK426" s="44"/>
      <c r="AL426" s="44"/>
      <c r="AM426" s="251" t="s">
        <v>203</v>
      </c>
      <c r="AN426" s="44" t="s">
        <v>171</v>
      </c>
      <c r="AO426" s="44">
        <f>$J$27</f>
        <v>-0.5</v>
      </c>
      <c r="AP426" s="65"/>
      <c r="AS426" s="211" t="s">
        <v>367</v>
      </c>
      <c r="AT426" s="85" t="s">
        <v>10</v>
      </c>
      <c r="AU426" s="176">
        <f>-_xlfn.AGGREGATE(9,6,AI443,AI444)</f>
        <v>0</v>
      </c>
      <c r="AV426" s="85"/>
      <c r="AW426" s="85"/>
      <c r="AX426" s="186"/>
      <c r="AY426" s="99" t="s">
        <v>171</v>
      </c>
      <c r="AZ426" s="85">
        <f>$J$27</f>
        <v>-0.5</v>
      </c>
      <c r="BA426" s="186"/>
      <c r="BB426" s="139"/>
      <c r="BC426" s="483"/>
    </row>
    <row r="427" spans="1:55" x14ac:dyDescent="0.25">
      <c r="A427" s="302"/>
      <c r="E427" s="66"/>
      <c r="F427" s="677"/>
      <c r="G427" s="677" t="s">
        <v>345</v>
      </c>
      <c r="H427" s="284"/>
      <c r="I427" s="44" t="s">
        <v>203</v>
      </c>
      <c r="J427" s="44"/>
      <c r="K427" s="65"/>
      <c r="L427" s="293" t="s">
        <v>238</v>
      </c>
      <c r="M427" s="44"/>
      <c r="N427" s="65"/>
      <c r="Q427" s="455"/>
      <c r="R427" s="84"/>
      <c r="S427" s="94"/>
      <c r="T427" s="85"/>
      <c r="U427" s="85"/>
      <c r="V427" s="186" t="s">
        <v>210</v>
      </c>
      <c r="W427" s="85" t="s">
        <v>177</v>
      </c>
      <c r="X427" s="85">
        <f>$J$26</f>
        <v>0.5</v>
      </c>
      <c r="Y427" s="186"/>
      <c r="Z427" s="139"/>
      <c r="AA427" s="302"/>
      <c r="AC427" s="483"/>
      <c r="AG427" s="66"/>
      <c r="AH427" s="677"/>
      <c r="AI427" s="677" t="s">
        <v>611</v>
      </c>
      <c r="AJ427" s="284"/>
      <c r="AK427" s="44" t="s">
        <v>203</v>
      </c>
      <c r="AL427" s="44"/>
      <c r="AM427" s="65"/>
      <c r="AN427" s="293" t="s">
        <v>238</v>
      </c>
      <c r="AO427" s="44"/>
      <c r="AP427" s="65"/>
      <c r="AS427" s="455"/>
      <c r="AT427" s="84"/>
      <c r="AU427" s="94"/>
      <c r="AV427" s="85"/>
      <c r="AW427" s="85"/>
      <c r="AX427" s="186" t="s">
        <v>210</v>
      </c>
      <c r="AY427" s="85" t="s">
        <v>177</v>
      </c>
      <c r="AZ427" s="85">
        <f>$J$26</f>
        <v>0.5</v>
      </c>
      <c r="BA427" s="186"/>
      <c r="BB427" s="139"/>
      <c r="BC427" s="483"/>
    </row>
    <row r="428" spans="1:55" x14ac:dyDescent="0.25">
      <c r="A428" s="302"/>
      <c r="B428" s="77" t="s">
        <v>226</v>
      </c>
      <c r="C428" s="236">
        <f>C416*C417/24+C421+C424</f>
        <v>365</v>
      </c>
      <c r="E428" s="66" t="s">
        <v>233</v>
      </c>
      <c r="F428" s="305">
        <f>F421*C423*0</f>
        <v>0</v>
      </c>
      <c r="G428" s="308">
        <f>F421*C423*1</f>
        <v>12.6</v>
      </c>
      <c r="H428" s="286"/>
      <c r="I428" s="246" t="str">
        <f>INDEX($E$4:$N$19,MATCH(F417,$E$4:$E$19, 0),2)</f>
        <v>100 % dybstrøelsessystem</v>
      </c>
      <c r="J428" s="246"/>
      <c r="K428" s="65"/>
      <c r="L428" s="85" t="s">
        <v>172</v>
      </c>
      <c r="M428" s="85">
        <f>INDEX($E$4:$N$19,MATCH(F415,$E$4:$E$19, 0),3)</f>
        <v>0</v>
      </c>
      <c r="N428" s="186"/>
      <c r="Q428" s="211" t="s">
        <v>372</v>
      </c>
      <c r="R428" s="44"/>
      <c r="S428" s="113">
        <f>_xlfn.AGGREGATE(9,6,F428:G428)</f>
        <v>12.6</v>
      </c>
      <c r="T428" s="44"/>
      <c r="U428" s="44"/>
      <c r="V428" s="65"/>
      <c r="W428" s="44"/>
      <c r="X428" s="44"/>
      <c r="Y428" s="65"/>
      <c r="Z428" s="139"/>
      <c r="AA428" s="302"/>
      <c r="AC428" s="483"/>
      <c r="AD428" s="77" t="s">
        <v>226</v>
      </c>
      <c r="AE428" s="236">
        <f>AE416*AE417/24+AE421+AE424</f>
        <v>365</v>
      </c>
      <c r="AG428" s="66" t="s">
        <v>233</v>
      </c>
      <c r="AH428" s="305">
        <f>AH421*AE423*0</f>
        <v>0</v>
      </c>
      <c r="AI428" s="308">
        <f>AH421*AE423*1</f>
        <v>9.1</v>
      </c>
      <c r="AJ428" s="286"/>
      <c r="AK428" s="246" t="str">
        <f>INDEX($E$4:$N$19,MATCH(AH417,$E$4:$E$19, 0),2)</f>
        <v>100 % dybstrøelsessystem</v>
      </c>
      <c r="AL428" s="246"/>
      <c r="AM428" s="65"/>
      <c r="AN428" s="85" t="s">
        <v>172</v>
      </c>
      <c r="AO428" s="85">
        <f>INDEX($E$4:$N$19,MATCH(AH415,$E$4:$E$19, 0),3)</f>
        <v>0</v>
      </c>
      <c r="AP428" s="186"/>
      <c r="AS428" s="211" t="s">
        <v>372</v>
      </c>
      <c r="AT428" s="44"/>
      <c r="AU428" s="113">
        <f>_xlfn.AGGREGATE(9,6,AH428:AI428)</f>
        <v>9.1</v>
      </c>
      <c r="AV428" s="44"/>
      <c r="AW428" s="44"/>
      <c r="AX428" s="65"/>
      <c r="AY428" s="44"/>
      <c r="AZ428" s="44"/>
      <c r="BA428" s="65"/>
      <c r="BB428" s="139"/>
      <c r="BC428" s="483"/>
    </row>
    <row r="429" spans="1:55" x14ac:dyDescent="0.25">
      <c r="A429" s="302"/>
      <c r="B429" s="720"/>
      <c r="C429" s="245"/>
      <c r="E429" s="117" t="s">
        <v>102</v>
      </c>
      <c r="F429" s="305" t="e">
        <f>INDEX(Normtal!$Q$3:$AC$551,MATCH(F427,Normtal!$AA$3:$AA$551, 0),6)*C424/365</f>
        <v>#N/A</v>
      </c>
      <c r="G429" s="309">
        <f>INDEX(Normtal!$Q$3:$AC$551,MATCH(G427,Normtal!$AA$3:$AA$551, 0),6)*C424/365</f>
        <v>2.3268749999999998</v>
      </c>
      <c r="H429" s="286"/>
      <c r="I429" s="44"/>
      <c r="J429" s="44"/>
      <c r="K429" s="251" t="s">
        <v>203</v>
      </c>
      <c r="L429" s="85"/>
      <c r="M429" s="85"/>
      <c r="N429" s="186"/>
      <c r="Q429" s="211" t="s">
        <v>244</v>
      </c>
      <c r="R429" s="85" t="s">
        <v>10</v>
      </c>
      <c r="S429" s="113">
        <f>_xlfn.AGGREGATE(9,6,F429:G429)</f>
        <v>2.3268749999999998</v>
      </c>
      <c r="T429" s="44"/>
      <c r="U429" s="44"/>
      <c r="V429" s="65"/>
      <c r="W429" s="85" t="s">
        <v>159</v>
      </c>
      <c r="X429" s="85">
        <f>$U$20</f>
        <v>0.01</v>
      </c>
      <c r="Y429" s="186"/>
      <c r="Z429" s="139"/>
      <c r="AA429" s="302"/>
      <c r="AC429" s="483"/>
      <c r="AD429" s="720"/>
      <c r="AE429" s="245"/>
      <c r="AG429" s="117" t="s">
        <v>102</v>
      </c>
      <c r="AH429" s="305" t="e">
        <f>INDEX(Normtal!$Q$3:$AC$551,MATCH(AH427,Normtal!$AA$3:$AA$551, 0),6)*AE424/365</f>
        <v>#N/A</v>
      </c>
      <c r="AI429" s="309">
        <f>INDEX(Normtal!$Q$3:$AC$551,MATCH(AI427,Normtal!$AA$3:$AA$551, 0),6)*AE424/365</f>
        <v>1.8615000000000004</v>
      </c>
      <c r="AJ429" s="286"/>
      <c r="AK429" s="44"/>
      <c r="AL429" s="44"/>
      <c r="AM429" s="251" t="s">
        <v>203</v>
      </c>
      <c r="AN429" s="85"/>
      <c r="AO429" s="85"/>
      <c r="AP429" s="186"/>
      <c r="AS429" s="211" t="s">
        <v>244</v>
      </c>
      <c r="AT429" s="85" t="s">
        <v>10</v>
      </c>
      <c r="AU429" s="113">
        <f>_xlfn.AGGREGATE(9,6,AH429:AI429)</f>
        <v>1.8615000000000004</v>
      </c>
      <c r="AV429" s="44"/>
      <c r="AW429" s="44"/>
      <c r="AX429" s="65"/>
      <c r="AY429" s="85" t="s">
        <v>159</v>
      </c>
      <c r="AZ429" s="85">
        <f>$U$20</f>
        <v>0.01</v>
      </c>
      <c r="BA429" s="186"/>
      <c r="BB429" s="139"/>
      <c r="BC429" s="483"/>
    </row>
    <row r="430" spans="1:55" x14ac:dyDescent="0.25">
      <c r="A430" s="302"/>
      <c r="B430" s="720"/>
      <c r="C430" s="245"/>
      <c r="E430" s="66" t="s">
        <v>234</v>
      </c>
      <c r="F430" s="307" t="e">
        <f>INDEX(Normtal!$Q$3:$AC$551,MATCH(F427,Normtal!$AA$3:$AA$551, 0),4)*C424/365</f>
        <v>#N/A</v>
      </c>
      <c r="G430" s="283"/>
      <c r="H430" s="285">
        <f>H421*C423*0.4</f>
        <v>3.24</v>
      </c>
      <c r="I430" s="44"/>
      <c r="J430" s="44"/>
      <c r="K430" s="65"/>
      <c r="L430" s="85" t="s">
        <v>195</v>
      </c>
      <c r="M430" s="85"/>
      <c r="N430" s="201">
        <f>INDEX($E$4:$N$19,MATCH(F415,$E$4:$E$19, 0),7)</f>
        <v>0</v>
      </c>
      <c r="Q430" s="211" t="s">
        <v>368</v>
      </c>
      <c r="R430" s="85" t="s">
        <v>10</v>
      </c>
      <c r="S430" s="300">
        <f>-_xlfn.AGGREGATE(9,6,G446:G447)</f>
        <v>-0.14926874999999998</v>
      </c>
      <c r="T430" s="44"/>
      <c r="U430" s="44"/>
      <c r="V430" s="65"/>
      <c r="W430" s="44"/>
      <c r="X430" s="44"/>
      <c r="Y430" s="186"/>
      <c r="Z430" s="139"/>
      <c r="AA430" s="302"/>
      <c r="AC430" s="483"/>
      <c r="AD430" s="720"/>
      <c r="AE430" s="245"/>
      <c r="AG430" s="66" t="s">
        <v>234</v>
      </c>
      <c r="AH430" s="307" t="e">
        <f>INDEX(Normtal!$Q$3:$AC$551,MATCH(AH427,Normtal!$AA$3:$AA$551, 0),4)*AE424/365</f>
        <v>#N/A</v>
      </c>
      <c r="AI430" s="283"/>
      <c r="AJ430" s="285">
        <f>AJ421*AE423*0.4</f>
        <v>2.4000000000000004</v>
      </c>
      <c r="AK430" s="44"/>
      <c r="AL430" s="44"/>
      <c r="AM430" s="65"/>
      <c r="AN430" s="85" t="s">
        <v>195</v>
      </c>
      <c r="AO430" s="85"/>
      <c r="AP430" s="201">
        <f>INDEX($E$4:$N$19,MATCH(AH415,$E$4:$E$19, 0),7)</f>
        <v>0</v>
      </c>
      <c r="AS430" s="211" t="s">
        <v>368</v>
      </c>
      <c r="AT430" s="85" t="s">
        <v>10</v>
      </c>
      <c r="AU430" s="300">
        <f>-_xlfn.AGGREGATE(9,6,AI446:AI447)</f>
        <v>-0.109615</v>
      </c>
      <c r="AV430" s="44"/>
      <c r="AW430" s="44"/>
      <c r="AX430" s="65"/>
      <c r="AY430" s="44"/>
      <c r="AZ430" s="44"/>
      <c r="BA430" s="186"/>
      <c r="BB430" s="139"/>
      <c r="BC430" s="483"/>
    </row>
    <row r="431" spans="1:55" x14ac:dyDescent="0.25">
      <c r="A431" s="302"/>
      <c r="E431" s="66"/>
      <c r="F431" s="290"/>
      <c r="G431" s="290"/>
      <c r="H431" s="292"/>
      <c r="I431" s="44"/>
      <c r="J431" s="44"/>
      <c r="K431" s="251" t="s">
        <v>203</v>
      </c>
      <c r="L431" s="85"/>
      <c r="M431" s="85"/>
      <c r="N431" s="186"/>
      <c r="Q431" s="211" t="s">
        <v>366</v>
      </c>
      <c r="R431" s="85" t="s">
        <v>10</v>
      </c>
      <c r="S431" s="300">
        <f>-_xlfn.AGGREGATE(9,6,G448:G449)</f>
        <v>-0.75599999999999989</v>
      </c>
      <c r="T431" s="44"/>
      <c r="U431" s="44"/>
      <c r="V431" s="65"/>
      <c r="Y431" s="65"/>
      <c r="Z431" s="139"/>
      <c r="AA431" s="302"/>
      <c r="AC431" s="483"/>
      <c r="AG431" s="66"/>
      <c r="AH431" s="290"/>
      <c r="AI431" s="290"/>
      <c r="AJ431" s="292"/>
      <c r="AK431" s="44"/>
      <c r="AL431" s="44"/>
      <c r="AM431" s="251" t="s">
        <v>203</v>
      </c>
      <c r="AN431" s="85"/>
      <c r="AO431" s="85"/>
      <c r="AP431" s="186"/>
      <c r="AS431" s="211" t="s">
        <v>366</v>
      </c>
      <c r="AT431" s="85" t="s">
        <v>10</v>
      </c>
      <c r="AU431" s="300">
        <f>-_xlfn.AGGREGATE(9,6,AI448:AI449)</f>
        <v>-0.54599999999999993</v>
      </c>
      <c r="AV431" s="44"/>
      <c r="AW431" s="44"/>
      <c r="AX431" s="65"/>
      <c r="BA431" s="65"/>
      <c r="BB431" s="139"/>
      <c r="BC431" s="483"/>
    </row>
    <row r="432" spans="1:55" x14ac:dyDescent="0.25">
      <c r="A432" s="302"/>
      <c r="E432" s="96" t="s">
        <v>134</v>
      </c>
      <c r="F432" s="176">
        <f>_xlfn.AGGREGATE(9,6,F425,F430)</f>
        <v>0</v>
      </c>
      <c r="G432" s="288"/>
      <c r="H432" s="266">
        <f>_xlfn.AGGREGATE(9,6,H425,H430)</f>
        <v>3.24</v>
      </c>
      <c r="I432" s="44"/>
      <c r="J432" s="44"/>
      <c r="K432" s="65"/>
      <c r="L432" s="85"/>
      <c r="M432" s="85"/>
      <c r="N432" s="186"/>
      <c r="Q432" s="66"/>
      <c r="R432" s="44"/>
      <c r="S432" s="44"/>
      <c r="T432" s="301"/>
      <c r="U432" s="44"/>
      <c r="V432" s="65"/>
      <c r="W432" s="24"/>
      <c r="X432" s="24"/>
      <c r="Y432" s="120"/>
      <c r="Z432" s="48"/>
      <c r="AA432" s="302"/>
      <c r="AC432" s="483"/>
      <c r="AG432" s="96" t="s">
        <v>134</v>
      </c>
      <c r="AH432" s="176">
        <f>_xlfn.AGGREGATE(9,6,AH425,AH430)</f>
        <v>0</v>
      </c>
      <c r="AI432" s="288"/>
      <c r="AJ432" s="266">
        <f>_xlfn.AGGREGATE(9,6,AJ425,AJ430)</f>
        <v>2.4000000000000004</v>
      </c>
      <c r="AK432" s="44"/>
      <c r="AL432" s="44"/>
      <c r="AM432" s="65"/>
      <c r="AN432" s="85"/>
      <c r="AO432" s="85"/>
      <c r="AP432" s="186"/>
      <c r="AS432" s="66"/>
      <c r="AT432" s="44"/>
      <c r="AU432" s="44"/>
      <c r="AV432" s="301"/>
      <c r="AW432" s="44"/>
      <c r="AX432" s="65"/>
      <c r="AY432" s="24"/>
      <c r="AZ432" s="24"/>
      <c r="BA432" s="120"/>
      <c r="BB432" s="48"/>
      <c r="BC432" s="483"/>
    </row>
    <row r="433" spans="1:55" x14ac:dyDescent="0.25">
      <c r="A433" s="302"/>
      <c r="E433" s="66"/>
      <c r="F433" s="44"/>
      <c r="G433" s="44"/>
      <c r="H433" s="44"/>
      <c r="I433" s="44"/>
      <c r="J433" s="44"/>
      <c r="K433" s="65"/>
      <c r="L433" s="85"/>
      <c r="M433" s="85"/>
      <c r="N433" s="186"/>
      <c r="Q433" s="96" t="s">
        <v>369</v>
      </c>
      <c r="R433" s="85" t="s">
        <v>10</v>
      </c>
      <c r="S433" s="198">
        <f>SUM(S423:S426)</f>
        <v>0</v>
      </c>
      <c r="W433" s="44"/>
      <c r="X433" s="44"/>
      <c r="Y433" s="44"/>
      <c r="Z433" s="48"/>
      <c r="AA433" s="302"/>
      <c r="AC433" s="483"/>
      <c r="AG433" s="66"/>
      <c r="AH433" s="44"/>
      <c r="AI433" s="44"/>
      <c r="AJ433" s="44"/>
      <c r="AK433" s="44"/>
      <c r="AL433" s="44"/>
      <c r="AM433" s="65"/>
      <c r="AN433" s="85"/>
      <c r="AO433" s="85"/>
      <c r="AP433" s="186"/>
      <c r="AS433" s="96" t="s">
        <v>369</v>
      </c>
      <c r="AT433" s="85" t="s">
        <v>10</v>
      </c>
      <c r="AU433" s="198">
        <f>SUM(AU423:AU426)</f>
        <v>0</v>
      </c>
      <c r="AY433" s="44"/>
      <c r="AZ433" s="44"/>
      <c r="BA433" s="44"/>
      <c r="BB433" s="48"/>
      <c r="BC433" s="483"/>
    </row>
    <row r="434" spans="1:55" x14ac:dyDescent="0.25">
      <c r="A434" s="302"/>
      <c r="E434" s="96" t="s">
        <v>84</v>
      </c>
      <c r="F434" s="85"/>
      <c r="G434" s="85"/>
      <c r="H434" s="44"/>
      <c r="I434" s="85"/>
      <c r="J434" s="44"/>
      <c r="K434" s="251" t="s">
        <v>203</v>
      </c>
      <c r="L434" s="85" t="str">
        <f>$T$20</f>
        <v>EF4</v>
      </c>
      <c r="M434" s="85">
        <f>$U$20</f>
        <v>0.01</v>
      </c>
      <c r="N434" s="186"/>
      <c r="Q434" s="310" t="s">
        <v>563</v>
      </c>
      <c r="R434" s="84" t="s">
        <v>10</v>
      </c>
      <c r="S434" s="457" t="e">
        <f>F425-G443</f>
        <v>#N/A</v>
      </c>
      <c r="U434" s="44"/>
      <c r="V434" s="65"/>
      <c r="W434" s="44"/>
      <c r="X434" s="44"/>
      <c r="Y434" s="44"/>
      <c r="Z434" s="48"/>
      <c r="AA434" s="302"/>
      <c r="AC434" s="483"/>
      <c r="AG434" s="96" t="s">
        <v>84</v>
      </c>
      <c r="AH434" s="85"/>
      <c r="AI434" s="85"/>
      <c r="AJ434" s="44"/>
      <c r="AK434" s="85"/>
      <c r="AL434" s="44"/>
      <c r="AM434" s="251" t="s">
        <v>203</v>
      </c>
      <c r="AN434" s="85" t="str">
        <f>$T$20</f>
        <v>EF4</v>
      </c>
      <c r="AO434" s="85">
        <f>$U$20</f>
        <v>0.01</v>
      </c>
      <c r="AP434" s="186"/>
      <c r="AS434" s="310" t="s">
        <v>563</v>
      </c>
      <c r="AT434" s="84" t="s">
        <v>10</v>
      </c>
      <c r="AU434" s="457" t="e">
        <f>AH425-AI443</f>
        <v>#N/A</v>
      </c>
      <c r="AW434" s="44"/>
      <c r="AX434" s="65"/>
      <c r="AY434" s="44"/>
      <c r="AZ434" s="44"/>
      <c r="BA434" s="44"/>
      <c r="BB434" s="48"/>
      <c r="BC434" s="483"/>
    </row>
    <row r="435" spans="1:55" x14ac:dyDescent="0.25">
      <c r="A435" s="302"/>
      <c r="E435" s="96" t="s">
        <v>105</v>
      </c>
      <c r="F435" s="85" t="s">
        <v>10</v>
      </c>
      <c r="G435" s="176">
        <f>(F420)*M428/100</f>
        <v>0</v>
      </c>
      <c r="H435" s="44"/>
      <c r="I435" s="85" t="s">
        <v>85</v>
      </c>
      <c r="J435" s="114" t="s">
        <v>86</v>
      </c>
      <c r="K435" s="252" t="s">
        <v>203</v>
      </c>
      <c r="L435" s="85" t="str">
        <f>$T$21</f>
        <v>[leaching/ runoff]</v>
      </c>
      <c r="M435" s="85">
        <f>$U$21</f>
        <v>0</v>
      </c>
      <c r="N435" s="186"/>
      <c r="Q435" s="96" t="s">
        <v>370</v>
      </c>
      <c r="R435" s="85" t="s">
        <v>10</v>
      </c>
      <c r="S435" s="198">
        <f>SUM(S428:S431)</f>
        <v>14.02160625</v>
      </c>
      <c r="W435" s="44"/>
      <c r="X435" s="44"/>
      <c r="Y435" s="44"/>
      <c r="Z435" s="48"/>
      <c r="AA435" s="302"/>
      <c r="AC435" s="483"/>
      <c r="AG435" s="96" t="s">
        <v>105</v>
      </c>
      <c r="AH435" s="85" t="s">
        <v>10</v>
      </c>
      <c r="AI435" s="176">
        <f>(AH420)*AO428/100</f>
        <v>0</v>
      </c>
      <c r="AJ435" s="44"/>
      <c r="AK435" s="85" t="s">
        <v>85</v>
      </c>
      <c r="AL435" s="114" t="s">
        <v>86</v>
      </c>
      <c r="AM435" s="252" t="s">
        <v>203</v>
      </c>
      <c r="AN435" s="85" t="str">
        <f>$T$21</f>
        <v>[leaching/ runoff]</v>
      </c>
      <c r="AO435" s="85">
        <f>$U$21</f>
        <v>0</v>
      </c>
      <c r="AP435" s="186"/>
      <c r="AS435" s="96" t="s">
        <v>370</v>
      </c>
      <c r="AT435" s="85" t="s">
        <v>10</v>
      </c>
      <c r="AU435" s="198">
        <f>SUM(AU428:AU431)</f>
        <v>10.305885000000002</v>
      </c>
      <c r="AY435" s="44"/>
      <c r="AZ435" s="44"/>
      <c r="BA435" s="44"/>
      <c r="BB435" s="48"/>
      <c r="BC435" s="483"/>
    </row>
    <row r="436" spans="1:55" x14ac:dyDescent="0.25">
      <c r="A436" s="302"/>
      <c r="E436" s="96" t="s">
        <v>106</v>
      </c>
      <c r="F436" s="85" t="s">
        <v>10</v>
      </c>
      <c r="G436" s="198">
        <f>(F420)*N430/100</f>
        <v>0</v>
      </c>
      <c r="H436" s="44"/>
      <c r="I436" s="85" t="s">
        <v>87</v>
      </c>
      <c r="J436" s="114" t="s">
        <v>88</v>
      </c>
      <c r="K436" s="252" t="s">
        <v>203</v>
      </c>
      <c r="L436" s="85" t="str">
        <f>$T$22</f>
        <v>EF5</v>
      </c>
      <c r="M436" s="85">
        <f>$U$22</f>
        <v>1.0999999999999999E-2</v>
      </c>
      <c r="N436" s="186"/>
      <c r="T436" s="44"/>
      <c r="U436" s="44"/>
      <c r="V436" s="65"/>
      <c r="W436" s="85"/>
      <c r="X436" s="85"/>
      <c r="Y436" s="85"/>
      <c r="Z436" s="48"/>
      <c r="AA436" s="302"/>
      <c r="AC436" s="483"/>
      <c r="AG436" s="96" t="s">
        <v>106</v>
      </c>
      <c r="AH436" s="85" t="s">
        <v>10</v>
      </c>
      <c r="AI436" s="198">
        <f>(AH420)*AP430/100</f>
        <v>0</v>
      </c>
      <c r="AJ436" s="44"/>
      <c r="AK436" s="85" t="s">
        <v>87</v>
      </c>
      <c r="AL436" s="114" t="s">
        <v>88</v>
      </c>
      <c r="AM436" s="252" t="s">
        <v>203</v>
      </c>
      <c r="AN436" s="85" t="str">
        <f>$T$22</f>
        <v>EF5</v>
      </c>
      <c r="AO436" s="85">
        <f>$U$22</f>
        <v>1.0999999999999999E-2</v>
      </c>
      <c r="AP436" s="186"/>
      <c r="AV436" s="44"/>
      <c r="AW436" s="44"/>
      <c r="AX436" s="65"/>
      <c r="AY436" s="85"/>
      <c r="AZ436" s="85"/>
      <c r="BA436" s="85"/>
      <c r="BB436" s="48"/>
      <c r="BC436" s="483"/>
    </row>
    <row r="437" spans="1:55" x14ac:dyDescent="0.25">
      <c r="A437" s="302"/>
      <c r="E437" s="96" t="s">
        <v>200</v>
      </c>
      <c r="F437" s="85" t="s">
        <v>10</v>
      </c>
      <c r="G437" s="198">
        <f>F420*M437/100</f>
        <v>0</v>
      </c>
      <c r="H437" s="44"/>
      <c r="I437" s="85" t="s">
        <v>201</v>
      </c>
      <c r="J437" s="44"/>
      <c r="K437" s="251" t="s">
        <v>203</v>
      </c>
      <c r="L437" s="85" t="str">
        <f>$T$23</f>
        <v>FracLEACH</v>
      </c>
      <c r="M437" s="85">
        <f>$U$23</f>
        <v>0.24</v>
      </c>
      <c r="N437" s="186"/>
      <c r="Q437" s="96" t="s">
        <v>136</v>
      </c>
      <c r="R437" s="85"/>
      <c r="S437" s="85"/>
      <c r="T437" s="85"/>
      <c r="U437" s="85"/>
      <c r="V437" s="186" t="s">
        <v>210</v>
      </c>
      <c r="W437" s="44"/>
      <c r="X437" s="44"/>
      <c r="Y437" s="44"/>
      <c r="Z437" s="48"/>
      <c r="AA437" s="302"/>
      <c r="AC437" s="483"/>
      <c r="AG437" s="96" t="s">
        <v>200</v>
      </c>
      <c r="AH437" s="85" t="s">
        <v>10</v>
      </c>
      <c r="AI437" s="198">
        <f>AH420*AO437/100</f>
        <v>0</v>
      </c>
      <c r="AJ437" s="44"/>
      <c r="AK437" s="85" t="s">
        <v>201</v>
      </c>
      <c r="AL437" s="44"/>
      <c r="AM437" s="251" t="s">
        <v>203</v>
      </c>
      <c r="AN437" s="85" t="str">
        <f>$T$23</f>
        <v>FracLEACH</v>
      </c>
      <c r="AO437" s="85">
        <f>$U$23</f>
        <v>0.24</v>
      </c>
      <c r="AP437" s="186"/>
      <c r="AS437" s="96" t="s">
        <v>136</v>
      </c>
      <c r="AT437" s="85"/>
      <c r="AU437" s="85"/>
      <c r="AV437" s="85"/>
      <c r="AW437" s="85"/>
      <c r="AX437" s="186" t="s">
        <v>210</v>
      </c>
      <c r="AY437" s="44"/>
      <c r="AZ437" s="44"/>
      <c r="BA437" s="44"/>
      <c r="BB437" s="48"/>
      <c r="BC437" s="483"/>
    </row>
    <row r="438" spans="1:55" x14ac:dyDescent="0.25">
      <c r="A438" s="302"/>
      <c r="E438" s="66"/>
      <c r="F438" s="85"/>
      <c r="G438" s="176"/>
      <c r="H438" s="44"/>
      <c r="I438" s="85"/>
      <c r="J438" s="44"/>
      <c r="K438" s="251" t="s">
        <v>203</v>
      </c>
      <c r="L438" s="24"/>
      <c r="M438" s="24"/>
      <c r="N438" s="196"/>
      <c r="Q438" s="96" t="s">
        <v>375</v>
      </c>
      <c r="R438" s="85" t="s">
        <v>10</v>
      </c>
      <c r="S438" s="176">
        <f>(S433*X417/100)</f>
        <v>0</v>
      </c>
      <c r="T438" s="212" t="s">
        <v>561</v>
      </c>
      <c r="U438" s="212" t="s">
        <v>379</v>
      </c>
      <c r="V438" s="186" t="s">
        <v>210</v>
      </c>
      <c r="W438" s="44"/>
      <c r="X438" s="44"/>
      <c r="Y438" s="44"/>
      <c r="Z438" s="44"/>
      <c r="AA438" s="302"/>
      <c r="AC438" s="483"/>
      <c r="AG438" s="66"/>
      <c r="AH438" s="85"/>
      <c r="AI438" s="176"/>
      <c r="AJ438" s="44"/>
      <c r="AK438" s="85"/>
      <c r="AL438" s="44"/>
      <c r="AM438" s="251" t="s">
        <v>203</v>
      </c>
      <c r="AN438" s="24"/>
      <c r="AO438" s="24"/>
      <c r="AP438" s="196"/>
      <c r="AS438" s="96" t="s">
        <v>375</v>
      </c>
      <c r="AT438" s="85" t="s">
        <v>10</v>
      </c>
      <c r="AU438" s="176">
        <f>(AU433*AZ417/100)</f>
        <v>0</v>
      </c>
      <c r="AV438" s="212" t="s">
        <v>561</v>
      </c>
      <c r="AW438" s="212" t="s">
        <v>379</v>
      </c>
      <c r="AX438" s="186" t="s">
        <v>210</v>
      </c>
      <c r="AY438" s="44"/>
      <c r="AZ438" s="44"/>
      <c r="BA438" s="44"/>
      <c r="BB438" s="44"/>
      <c r="BC438" s="483"/>
    </row>
    <row r="439" spans="1:55" x14ac:dyDescent="0.25">
      <c r="A439" s="302"/>
      <c r="E439" s="96" t="s">
        <v>89</v>
      </c>
      <c r="F439" s="85"/>
      <c r="G439" s="176"/>
      <c r="H439" s="44"/>
      <c r="I439" s="85"/>
      <c r="J439" s="44"/>
      <c r="K439" s="251"/>
      <c r="L439" s="85"/>
      <c r="M439" s="85"/>
      <c r="N439" s="85"/>
      <c r="O439" s="44"/>
      <c r="Q439" s="96" t="s">
        <v>373</v>
      </c>
      <c r="R439" s="85" t="s">
        <v>10</v>
      </c>
      <c r="S439" s="176">
        <f>(S435*Y422/100)*0.35</f>
        <v>4.9075621874999996E-2</v>
      </c>
      <c r="T439" s="212" t="s">
        <v>141</v>
      </c>
      <c r="U439" s="212" t="s">
        <v>143</v>
      </c>
      <c r="V439" s="184" t="s">
        <v>210</v>
      </c>
      <c r="W439" s="85"/>
      <c r="X439" s="85"/>
      <c r="Y439" s="85"/>
      <c r="Z439" s="44"/>
      <c r="AA439" s="302"/>
      <c r="AC439" s="483"/>
      <c r="AG439" s="96" t="s">
        <v>89</v>
      </c>
      <c r="AH439" s="85"/>
      <c r="AI439" s="176"/>
      <c r="AJ439" s="44"/>
      <c r="AK439" s="85"/>
      <c r="AL439" s="44"/>
      <c r="AM439" s="251"/>
      <c r="AN439" s="85"/>
      <c r="AO439" s="85"/>
      <c r="AP439" s="85"/>
      <c r="AQ439" s="44"/>
      <c r="AS439" s="96" t="s">
        <v>373</v>
      </c>
      <c r="AT439" s="85" t="s">
        <v>10</v>
      </c>
      <c r="AU439" s="176">
        <f>(AU435*BA422/100)*0.35</f>
        <v>3.6070597500000003E-2</v>
      </c>
      <c r="AV439" s="212" t="s">
        <v>141</v>
      </c>
      <c r="AW439" s="212" t="s">
        <v>143</v>
      </c>
      <c r="AX439" s="184" t="s">
        <v>210</v>
      </c>
      <c r="AY439" s="85"/>
      <c r="AZ439" s="85"/>
      <c r="BA439" s="85"/>
      <c r="BB439" s="44"/>
      <c r="BC439" s="483"/>
    </row>
    <row r="440" spans="1:55" x14ac:dyDescent="0.25">
      <c r="A440" s="302"/>
      <c r="E440" s="97" t="s">
        <v>236</v>
      </c>
      <c r="F440" s="85"/>
      <c r="G440" s="176"/>
      <c r="H440" s="44"/>
      <c r="I440" s="85"/>
      <c r="J440" s="116"/>
      <c r="K440" s="252"/>
      <c r="L440" s="85"/>
      <c r="M440" s="85"/>
      <c r="N440" s="85"/>
      <c r="O440" s="44"/>
      <c r="Q440" s="97" t="s">
        <v>376</v>
      </c>
      <c r="R440" s="84" t="s">
        <v>10</v>
      </c>
      <c r="S440" s="456" t="e">
        <f>S434*X418/100</f>
        <v>#N/A</v>
      </c>
      <c r="T440" s="458" t="s">
        <v>562</v>
      </c>
      <c r="U440" s="212" t="s">
        <v>380</v>
      </c>
      <c r="V440" s="184" t="s">
        <v>210</v>
      </c>
      <c r="W440" s="85"/>
      <c r="X440" s="85"/>
      <c r="Y440" s="85"/>
      <c r="Z440" s="44"/>
      <c r="AA440" s="302"/>
      <c r="AC440" s="483"/>
      <c r="AG440" s="97" t="s">
        <v>236</v>
      </c>
      <c r="AH440" s="85"/>
      <c r="AI440" s="176"/>
      <c r="AJ440" s="44"/>
      <c r="AK440" s="85"/>
      <c r="AL440" s="116"/>
      <c r="AM440" s="252"/>
      <c r="AN440" s="85"/>
      <c r="AO440" s="85"/>
      <c r="AP440" s="85"/>
      <c r="AQ440" s="44"/>
      <c r="AS440" s="97" t="s">
        <v>376</v>
      </c>
      <c r="AT440" s="84" t="s">
        <v>10</v>
      </c>
      <c r="AU440" s="456" t="e">
        <f>AU434*AZ418/100</f>
        <v>#N/A</v>
      </c>
      <c r="AV440" s="458" t="s">
        <v>562</v>
      </c>
      <c r="AW440" s="212" t="s">
        <v>380</v>
      </c>
      <c r="AX440" s="184" t="s">
        <v>210</v>
      </c>
      <c r="AY440" s="85"/>
      <c r="AZ440" s="85"/>
      <c r="BA440" s="85"/>
      <c r="BB440" s="44"/>
      <c r="BC440" s="483"/>
    </row>
    <row r="441" spans="1:55" x14ac:dyDescent="0.25">
      <c r="A441" s="302"/>
      <c r="E441" s="97" t="s">
        <v>107</v>
      </c>
      <c r="F441" s="85" t="s">
        <v>10</v>
      </c>
      <c r="G441" s="282" t="e">
        <f>(F423+F424)*M417/100</f>
        <v>#N/A</v>
      </c>
      <c r="H441" s="44"/>
      <c r="I441" s="85"/>
      <c r="J441" s="116"/>
      <c r="K441" s="252"/>
      <c r="L441" s="85"/>
      <c r="M441" s="85"/>
      <c r="N441" s="85"/>
      <c r="O441" s="44"/>
      <c r="Q441" s="97" t="s">
        <v>544</v>
      </c>
      <c r="R441" s="84" t="s">
        <v>10</v>
      </c>
      <c r="S441" s="432" t="e">
        <f>S434*X418/100*(1+X420*C426)</f>
        <v>#N/A</v>
      </c>
      <c r="T441" s="458" t="s">
        <v>565</v>
      </c>
      <c r="U441" s="212" t="s">
        <v>380</v>
      </c>
      <c r="V441" s="184" t="s">
        <v>210</v>
      </c>
      <c r="W441" s="44"/>
      <c r="X441" s="44"/>
      <c r="Y441" s="44"/>
      <c r="Z441" s="44"/>
      <c r="AA441" s="302"/>
      <c r="AC441" s="483"/>
      <c r="AG441" s="97" t="s">
        <v>107</v>
      </c>
      <c r="AH441" s="85" t="s">
        <v>10</v>
      </c>
      <c r="AI441" s="282" t="e">
        <f>(AH423+AH424)*AO417/100</f>
        <v>#N/A</v>
      </c>
      <c r="AJ441" s="44"/>
      <c r="AK441" s="85"/>
      <c r="AL441" s="116"/>
      <c r="AM441" s="252"/>
      <c r="AN441" s="85"/>
      <c r="AO441" s="85"/>
      <c r="AP441" s="85"/>
      <c r="AQ441" s="44"/>
      <c r="AS441" s="97" t="s">
        <v>544</v>
      </c>
      <c r="AT441" s="84" t="s">
        <v>10</v>
      </c>
      <c r="AU441" s="432" t="e">
        <f>AU434*AZ418/100*(1+AZ420*AE426)</f>
        <v>#N/A</v>
      </c>
      <c r="AV441" s="458" t="s">
        <v>565</v>
      </c>
      <c r="AW441" s="212" t="s">
        <v>380</v>
      </c>
      <c r="AX441" s="184" t="s">
        <v>210</v>
      </c>
      <c r="AY441" s="44"/>
      <c r="AZ441" s="44"/>
      <c r="BA441" s="44"/>
      <c r="BB441" s="44"/>
      <c r="BC441" s="483"/>
    </row>
    <row r="442" spans="1:55" x14ac:dyDescent="0.25">
      <c r="A442" s="302"/>
      <c r="E442" s="97" t="s">
        <v>108</v>
      </c>
      <c r="F442" s="85" t="s">
        <v>10</v>
      </c>
      <c r="G442" s="282">
        <f>(G423+G424)*N417/100</f>
        <v>0</v>
      </c>
      <c r="H442" s="44"/>
      <c r="I442" s="85"/>
      <c r="J442" s="116"/>
      <c r="K442" s="252"/>
      <c r="L442" s="85"/>
      <c r="M442" s="85"/>
      <c r="N442" s="85"/>
      <c r="O442" s="44"/>
      <c r="Q442" s="96" t="s">
        <v>374</v>
      </c>
      <c r="R442" s="85" t="s">
        <v>10</v>
      </c>
      <c r="S442" s="198">
        <f>(S435*Y424/100)*0.35</f>
        <v>0.14722686562499998</v>
      </c>
      <c r="T442" s="212" t="s">
        <v>142</v>
      </c>
      <c r="U442" s="212" t="s">
        <v>144</v>
      </c>
      <c r="V442" s="184" t="s">
        <v>210</v>
      </c>
      <c r="W442" s="44"/>
      <c r="X442" s="44"/>
      <c r="Y442" s="44"/>
      <c r="Z442" s="44"/>
      <c r="AA442" s="302"/>
      <c r="AC442" s="483"/>
      <c r="AG442" s="97" t="s">
        <v>108</v>
      </c>
      <c r="AH442" s="85" t="s">
        <v>10</v>
      </c>
      <c r="AI442" s="282">
        <f>(AI423+AI424)*AP417/100</f>
        <v>0</v>
      </c>
      <c r="AJ442" s="44"/>
      <c r="AK442" s="85"/>
      <c r="AL442" s="116"/>
      <c r="AM442" s="252"/>
      <c r="AN442" s="85"/>
      <c r="AO442" s="85"/>
      <c r="AP442" s="85"/>
      <c r="AQ442" s="44"/>
      <c r="AS442" s="96" t="s">
        <v>374</v>
      </c>
      <c r="AT442" s="85" t="s">
        <v>10</v>
      </c>
      <c r="AU442" s="198">
        <f>(AU435*BA424/100)*0.35</f>
        <v>0.10821179250000001</v>
      </c>
      <c r="AV442" s="212" t="s">
        <v>142</v>
      </c>
      <c r="AW442" s="212" t="s">
        <v>144</v>
      </c>
      <c r="AX442" s="184" t="s">
        <v>210</v>
      </c>
      <c r="AY442" s="44"/>
      <c r="AZ442" s="44"/>
      <c r="BA442" s="44"/>
      <c r="BB442" s="44"/>
      <c r="BC442" s="483"/>
    </row>
    <row r="443" spans="1:55" x14ac:dyDescent="0.25">
      <c r="A443" s="302"/>
      <c r="E443" s="97" t="s">
        <v>109</v>
      </c>
      <c r="F443" s="85" t="s">
        <v>10</v>
      </c>
      <c r="G443" s="197" t="e">
        <f>F425*M419/100</f>
        <v>#N/A</v>
      </c>
      <c r="H443" s="44"/>
      <c r="I443" s="85"/>
      <c r="J443" s="116"/>
      <c r="K443" s="252"/>
      <c r="L443" s="85"/>
      <c r="M443" s="85"/>
      <c r="N443" s="85"/>
      <c r="O443" s="44"/>
      <c r="Q443" s="97" t="s">
        <v>383</v>
      </c>
      <c r="R443" s="85"/>
      <c r="S443" s="85"/>
      <c r="T443" s="85"/>
      <c r="U443" s="85"/>
      <c r="V443" s="186" t="s">
        <v>210</v>
      </c>
      <c r="W443" s="44"/>
      <c r="X443" s="44"/>
      <c r="Y443" s="44"/>
      <c r="Z443" s="44"/>
      <c r="AA443" s="302"/>
      <c r="AC443" s="483"/>
      <c r="AG443" s="97" t="s">
        <v>109</v>
      </c>
      <c r="AH443" s="85" t="s">
        <v>10</v>
      </c>
      <c r="AI443" s="197" t="e">
        <f>AH425*AO419/100</f>
        <v>#N/A</v>
      </c>
      <c r="AJ443" s="44"/>
      <c r="AK443" s="85"/>
      <c r="AL443" s="116"/>
      <c r="AM443" s="252"/>
      <c r="AN443" s="85"/>
      <c r="AO443" s="85"/>
      <c r="AP443" s="85"/>
      <c r="AQ443" s="44"/>
      <c r="AS443" s="97" t="s">
        <v>383</v>
      </c>
      <c r="AT443" s="85"/>
      <c r="AU443" s="85"/>
      <c r="AV443" s="85"/>
      <c r="AW443" s="85"/>
      <c r="AX443" s="186" t="s">
        <v>210</v>
      </c>
      <c r="AY443" s="44"/>
      <c r="AZ443" s="44"/>
      <c r="BA443" s="44"/>
      <c r="BB443" s="44"/>
      <c r="BC443" s="483"/>
    </row>
    <row r="444" spans="1:55" x14ac:dyDescent="0.25">
      <c r="A444" s="302"/>
      <c r="E444" s="97" t="s">
        <v>110</v>
      </c>
      <c r="F444" s="85" t="s">
        <v>10</v>
      </c>
      <c r="G444" s="197">
        <f>(G423)*N418/100</f>
        <v>0</v>
      </c>
      <c r="H444" s="44"/>
      <c r="I444" s="85"/>
      <c r="J444" s="116"/>
      <c r="K444" s="252"/>
      <c r="L444" s="85"/>
      <c r="M444" s="85"/>
      <c r="N444" s="85"/>
      <c r="O444" s="44"/>
      <c r="Q444" s="96" t="s">
        <v>12</v>
      </c>
      <c r="R444" s="84" t="s">
        <v>13</v>
      </c>
      <c r="S444" s="182">
        <f>SUM(S438:S439)*(44/28)*$U$13</f>
        <v>21.053441784374996</v>
      </c>
      <c r="T444" s="85"/>
      <c r="U444" s="85"/>
      <c r="V444" s="186" t="s">
        <v>210</v>
      </c>
      <c r="AA444" s="302"/>
      <c r="AC444" s="483"/>
      <c r="AG444" s="97" t="s">
        <v>110</v>
      </c>
      <c r="AH444" s="85" t="s">
        <v>10</v>
      </c>
      <c r="AI444" s="197">
        <f>(AI423)*AP418/100</f>
        <v>0</v>
      </c>
      <c r="AJ444" s="44"/>
      <c r="AK444" s="85"/>
      <c r="AL444" s="116"/>
      <c r="AM444" s="252"/>
      <c r="AN444" s="85"/>
      <c r="AO444" s="85"/>
      <c r="AP444" s="85"/>
      <c r="AQ444" s="44"/>
      <c r="AS444" s="96" t="s">
        <v>12</v>
      </c>
      <c r="AT444" s="84" t="s">
        <v>13</v>
      </c>
      <c r="AU444" s="182">
        <f>SUM(AU438:AU439)*(44/28)*$U$13</f>
        <v>15.474286327500002</v>
      </c>
      <c r="AV444" s="85"/>
      <c r="AW444" s="85"/>
      <c r="AX444" s="186" t="s">
        <v>210</v>
      </c>
      <c r="BC444" s="483"/>
    </row>
    <row r="445" spans="1:55" x14ac:dyDescent="0.25">
      <c r="A445" s="302"/>
      <c r="E445" s="96" t="s">
        <v>237</v>
      </c>
      <c r="F445" s="85"/>
      <c r="G445" s="176"/>
      <c r="H445" s="44"/>
      <c r="I445" s="85"/>
      <c r="J445" s="44"/>
      <c r="K445" s="251"/>
      <c r="L445" s="85"/>
      <c r="M445" s="85"/>
      <c r="N445" s="85"/>
      <c r="O445" s="44"/>
      <c r="Q445" s="96" t="s">
        <v>14</v>
      </c>
      <c r="R445" s="84" t="s">
        <v>13</v>
      </c>
      <c r="S445" s="176" t="e">
        <f>SUM(S440,S442)*(44/28)*X429*$U$13</f>
        <v>#N/A</v>
      </c>
      <c r="T445" s="85"/>
      <c r="U445" s="85"/>
      <c r="V445" s="186"/>
      <c r="AA445" s="302"/>
      <c r="AC445" s="483"/>
      <c r="AG445" s="96" t="s">
        <v>237</v>
      </c>
      <c r="AH445" s="85"/>
      <c r="AI445" s="176"/>
      <c r="AJ445" s="44"/>
      <c r="AK445" s="85"/>
      <c r="AL445" s="44"/>
      <c r="AM445" s="251"/>
      <c r="AN445" s="85"/>
      <c r="AO445" s="85"/>
      <c r="AP445" s="85"/>
      <c r="AQ445" s="44"/>
      <c r="AS445" s="96" t="s">
        <v>14</v>
      </c>
      <c r="AT445" s="84" t="s">
        <v>13</v>
      </c>
      <c r="AU445" s="176" t="e">
        <f>SUM(AU440,AU442)*(44/28)*AZ429*$U$13</f>
        <v>#N/A</v>
      </c>
      <c r="AV445" s="85"/>
      <c r="AW445" s="85"/>
      <c r="AX445" s="186"/>
      <c r="BC445" s="483"/>
    </row>
    <row r="446" spans="1:55" x14ac:dyDescent="0.25">
      <c r="A446" s="302"/>
      <c r="E446" s="97" t="s">
        <v>107</v>
      </c>
      <c r="F446" s="85" t="s">
        <v>10</v>
      </c>
      <c r="G446" s="197" t="e">
        <f>((F428)+(F429*C424/365))*M421/100</f>
        <v>#N/A</v>
      </c>
      <c r="H446" s="44"/>
      <c r="I446" s="85" t="s">
        <v>111</v>
      </c>
      <c r="J446" s="114" t="s">
        <v>11</v>
      </c>
      <c r="K446" s="252" t="s">
        <v>203</v>
      </c>
      <c r="L446" s="85"/>
      <c r="M446" s="85"/>
      <c r="N446" s="85"/>
      <c r="O446" s="44"/>
      <c r="Q446" s="96" t="s">
        <v>545</v>
      </c>
      <c r="R446" s="84" t="s">
        <v>13</v>
      </c>
      <c r="S446" s="258" t="e">
        <f>SUM(S441,S442)*(44/28)*X429*$U$13</f>
        <v>#N/A</v>
      </c>
      <c r="T446" s="85"/>
      <c r="U446" s="85"/>
      <c r="V446" s="186"/>
      <c r="AA446" s="302"/>
      <c r="AC446" s="483"/>
      <c r="AG446" s="97" t="s">
        <v>107</v>
      </c>
      <c r="AH446" s="85" t="s">
        <v>10</v>
      </c>
      <c r="AI446" s="197" t="e">
        <f>((AH428)+(AH429*AE424/365))*AO421/100</f>
        <v>#N/A</v>
      </c>
      <c r="AJ446" s="44"/>
      <c r="AK446" s="85" t="s">
        <v>111</v>
      </c>
      <c r="AL446" s="114" t="s">
        <v>11</v>
      </c>
      <c r="AM446" s="252" t="s">
        <v>203</v>
      </c>
      <c r="AN446" s="85"/>
      <c r="AO446" s="85"/>
      <c r="AP446" s="85"/>
      <c r="AQ446" s="44"/>
      <c r="AS446" s="96" t="s">
        <v>545</v>
      </c>
      <c r="AT446" s="84" t="s">
        <v>13</v>
      </c>
      <c r="AU446" s="258" t="e">
        <f>SUM(AU441,AU442)*(44/28)*AZ429*$U$13</f>
        <v>#N/A</v>
      </c>
      <c r="AV446" s="85"/>
      <c r="AW446" s="85"/>
      <c r="AX446" s="186"/>
      <c r="BC446" s="483"/>
    </row>
    <row r="447" spans="1:55" x14ac:dyDescent="0.25">
      <c r="A447" s="302"/>
      <c r="E447" s="97" t="s">
        <v>108</v>
      </c>
      <c r="F447" s="85" t="s">
        <v>10</v>
      </c>
      <c r="G447" s="197">
        <f>((G428)+(G429*C424/365))*N421/100</f>
        <v>0.14926874999999998</v>
      </c>
      <c r="H447" s="44"/>
      <c r="I447" s="85" t="s">
        <v>140</v>
      </c>
      <c r="J447" s="116"/>
      <c r="K447" s="251" t="s">
        <v>203</v>
      </c>
      <c r="L447" s="85"/>
      <c r="M447" s="85"/>
      <c r="N447" s="85"/>
      <c r="O447" s="44"/>
      <c r="Q447" s="122"/>
      <c r="R447" s="98"/>
      <c r="S447" s="199"/>
      <c r="T447" s="101"/>
      <c r="U447" s="101"/>
      <c r="V447" s="196" t="s">
        <v>210</v>
      </c>
      <c r="AA447" s="302"/>
      <c r="AC447" s="483"/>
      <c r="AG447" s="97" t="s">
        <v>108</v>
      </c>
      <c r="AH447" s="85" t="s">
        <v>10</v>
      </c>
      <c r="AI447" s="197">
        <f>((AI428)+(AI429*AE424/365))*AP421/100</f>
        <v>0.109615</v>
      </c>
      <c r="AJ447" s="44"/>
      <c r="AK447" s="85" t="s">
        <v>140</v>
      </c>
      <c r="AL447" s="116"/>
      <c r="AM447" s="251" t="s">
        <v>203</v>
      </c>
      <c r="AN447" s="85"/>
      <c r="AO447" s="85"/>
      <c r="AP447" s="85"/>
      <c r="AQ447" s="44"/>
      <c r="AS447" s="122"/>
      <c r="AT447" s="98"/>
      <c r="AU447" s="199"/>
      <c r="AV447" s="101"/>
      <c r="AW447" s="101"/>
      <c r="AX447" s="196" t="s">
        <v>210</v>
      </c>
      <c r="BC447" s="483"/>
    </row>
    <row r="448" spans="1:55" x14ac:dyDescent="0.25">
      <c r="A448" s="302"/>
      <c r="E448" s="97" t="s">
        <v>109</v>
      </c>
      <c r="F448" s="85" t="s">
        <v>10</v>
      </c>
      <c r="G448" s="197" t="e">
        <f>F430*M423/100</f>
        <v>#N/A</v>
      </c>
      <c r="H448" s="44"/>
      <c r="I448" s="85" t="s">
        <v>112</v>
      </c>
      <c r="J448" s="114" t="s">
        <v>90</v>
      </c>
      <c r="K448" s="252" t="s">
        <v>203</v>
      </c>
      <c r="L448" s="85"/>
      <c r="M448" s="85"/>
      <c r="N448" s="85"/>
      <c r="O448" s="44"/>
      <c r="AA448" s="302"/>
      <c r="AC448" s="483"/>
      <c r="AG448" s="97" t="s">
        <v>109</v>
      </c>
      <c r="AH448" s="85" t="s">
        <v>10</v>
      </c>
      <c r="AI448" s="197" t="e">
        <f>AH430*AO423/100</f>
        <v>#N/A</v>
      </c>
      <c r="AJ448" s="44"/>
      <c r="AK448" s="85" t="s">
        <v>112</v>
      </c>
      <c r="AL448" s="114" t="s">
        <v>90</v>
      </c>
      <c r="AM448" s="252" t="s">
        <v>203</v>
      </c>
      <c r="AN448" s="85"/>
      <c r="AO448" s="85"/>
      <c r="AP448" s="85"/>
      <c r="AQ448" s="44"/>
      <c r="BC448" s="483"/>
    </row>
    <row r="449" spans="1:55" x14ac:dyDescent="0.25">
      <c r="A449" s="302"/>
      <c r="E449" s="97" t="s">
        <v>110</v>
      </c>
      <c r="F449" s="85" t="s">
        <v>10</v>
      </c>
      <c r="G449" s="197">
        <f>(G428)*N422/100</f>
        <v>0.75599999999999989</v>
      </c>
      <c r="H449" s="44"/>
      <c r="I449" s="44"/>
      <c r="J449" s="116"/>
      <c r="K449" s="252" t="s">
        <v>203</v>
      </c>
      <c r="L449" s="85"/>
      <c r="M449" s="85"/>
      <c r="N449" s="85"/>
      <c r="O449" s="44"/>
      <c r="AA449" s="302"/>
      <c r="AC449" s="483"/>
      <c r="AG449" s="97" t="s">
        <v>110</v>
      </c>
      <c r="AH449" s="85" t="s">
        <v>10</v>
      </c>
      <c r="AI449" s="197">
        <f>(AI428)*AP422/100</f>
        <v>0.54599999999999993</v>
      </c>
      <c r="AJ449" s="44"/>
      <c r="AK449" s="44"/>
      <c r="AL449" s="116"/>
      <c r="AM449" s="252" t="s">
        <v>203</v>
      </c>
      <c r="AN449" s="85"/>
      <c r="AO449" s="85"/>
      <c r="AP449" s="85"/>
      <c r="AQ449" s="44"/>
      <c r="BC449" s="483"/>
    </row>
    <row r="450" spans="1:55" x14ac:dyDescent="0.25">
      <c r="A450" s="302"/>
      <c r="E450" s="97"/>
      <c r="F450" s="85"/>
      <c r="G450" s="176"/>
      <c r="H450" s="44"/>
      <c r="I450" s="85"/>
      <c r="J450" s="116"/>
      <c r="K450" s="252"/>
      <c r="L450" s="44"/>
      <c r="M450" s="44"/>
      <c r="N450" s="44"/>
      <c r="O450" s="44"/>
      <c r="V450" s="56" t="s">
        <v>210</v>
      </c>
      <c r="AA450" s="302"/>
      <c r="AC450" s="483"/>
      <c r="AG450" s="97"/>
      <c r="AH450" s="85"/>
      <c r="AI450" s="176"/>
      <c r="AJ450" s="44"/>
      <c r="AK450" s="85"/>
      <c r="AL450" s="116"/>
      <c r="AM450" s="252"/>
      <c r="AN450" s="44"/>
      <c r="AO450" s="44"/>
      <c r="AP450" s="44"/>
      <c r="AQ450" s="44"/>
      <c r="AX450" s="56" t="s">
        <v>210</v>
      </c>
      <c r="BC450" s="483"/>
    </row>
    <row r="451" spans="1:55" x14ac:dyDescent="0.25">
      <c r="A451" s="302"/>
      <c r="E451" s="97" t="s">
        <v>239</v>
      </c>
      <c r="F451" s="85" t="s">
        <v>10</v>
      </c>
      <c r="G451" s="176">
        <f>_xlfn.AGGREGATE(9,6,G441,G442,G446,G447)</f>
        <v>0.14926874999999998</v>
      </c>
      <c r="H451" s="44"/>
      <c r="I451" s="85" t="s">
        <v>113</v>
      </c>
      <c r="J451" s="100"/>
      <c r="K451" s="252" t="s">
        <v>203</v>
      </c>
      <c r="L451" s="44"/>
      <c r="M451" s="44"/>
      <c r="N451" s="44"/>
      <c r="O451" s="44"/>
      <c r="V451" s="56" t="s">
        <v>210</v>
      </c>
      <c r="AA451" s="302"/>
      <c r="AC451" s="483"/>
      <c r="AG451" s="97" t="s">
        <v>239</v>
      </c>
      <c r="AH451" s="85" t="s">
        <v>10</v>
      </c>
      <c r="AI451" s="176">
        <f>_xlfn.AGGREGATE(9,6,AI441,AI442,AI446,AI447)</f>
        <v>0.109615</v>
      </c>
      <c r="AJ451" s="44"/>
      <c r="AK451" s="85" t="s">
        <v>113</v>
      </c>
      <c r="AL451" s="100"/>
      <c r="AM451" s="252" t="s">
        <v>203</v>
      </c>
      <c r="AN451" s="44"/>
      <c r="AO451" s="44"/>
      <c r="AP451" s="44"/>
      <c r="AQ451" s="44"/>
      <c r="AX451" s="56" t="s">
        <v>210</v>
      </c>
      <c r="BC451" s="483"/>
    </row>
    <row r="452" spans="1:55" x14ac:dyDescent="0.25">
      <c r="A452" s="302"/>
      <c r="E452" s="97" t="s">
        <v>240</v>
      </c>
      <c r="F452" s="85" t="s">
        <v>10</v>
      </c>
      <c r="G452" s="176">
        <f>_xlfn.AGGREGATE(9,6,G443,G444,G448,G449)</f>
        <v>0.75599999999999989</v>
      </c>
      <c r="H452" s="44"/>
      <c r="I452" s="85" t="s">
        <v>114</v>
      </c>
      <c r="J452" s="100"/>
      <c r="K452" s="252" t="s">
        <v>203</v>
      </c>
      <c r="L452" s="85"/>
      <c r="M452" s="85"/>
      <c r="N452" s="85"/>
      <c r="O452" s="44"/>
      <c r="V452" s="56" t="s">
        <v>210</v>
      </c>
      <c r="AA452" s="302"/>
      <c r="AC452" s="483"/>
      <c r="AG452" s="97" t="s">
        <v>240</v>
      </c>
      <c r="AH452" s="85" t="s">
        <v>10</v>
      </c>
      <c r="AI452" s="176">
        <f>_xlfn.AGGREGATE(9,6,AI443,AI444,AI448,AI449)</f>
        <v>0.54599999999999993</v>
      </c>
      <c r="AJ452" s="44"/>
      <c r="AK452" s="85" t="s">
        <v>114</v>
      </c>
      <c r="AL452" s="100"/>
      <c r="AM452" s="252" t="s">
        <v>203</v>
      </c>
      <c r="AN452" s="85"/>
      <c r="AO452" s="85"/>
      <c r="AP452" s="85"/>
      <c r="AQ452" s="44"/>
      <c r="AX452" s="56" t="s">
        <v>210</v>
      </c>
      <c r="BC452" s="483"/>
    </row>
    <row r="453" spans="1:55" x14ac:dyDescent="0.25">
      <c r="A453" s="302"/>
      <c r="E453" s="97"/>
      <c r="F453" s="85"/>
      <c r="G453" s="85"/>
      <c r="H453" s="44"/>
      <c r="I453" s="85"/>
      <c r="J453" s="100"/>
      <c r="K453" s="252" t="s">
        <v>203</v>
      </c>
      <c r="L453" s="44"/>
      <c r="M453" s="44"/>
      <c r="N453" s="85"/>
      <c r="O453" s="44"/>
      <c r="V453" s="56" t="s">
        <v>210</v>
      </c>
      <c r="AA453" s="302"/>
      <c r="AC453" s="483"/>
      <c r="AG453" s="97"/>
      <c r="AH453" s="85"/>
      <c r="AI453" s="85"/>
      <c r="AJ453" s="44"/>
      <c r="AK453" s="85"/>
      <c r="AL453" s="100"/>
      <c r="AM453" s="252" t="s">
        <v>203</v>
      </c>
      <c r="AN453" s="44"/>
      <c r="AO453" s="44"/>
      <c r="AP453" s="85"/>
      <c r="AQ453" s="44"/>
      <c r="AX453" s="56" t="s">
        <v>210</v>
      </c>
      <c r="BC453" s="483"/>
    </row>
    <row r="454" spans="1:55" x14ac:dyDescent="0.25">
      <c r="A454" s="302"/>
      <c r="E454" s="97" t="s">
        <v>91</v>
      </c>
      <c r="F454" s="85"/>
      <c r="G454" s="85"/>
      <c r="H454" s="44"/>
      <c r="I454" s="85"/>
      <c r="J454" s="85"/>
      <c r="K454" s="251" t="s">
        <v>203</v>
      </c>
      <c r="L454" s="99"/>
      <c r="M454" s="85"/>
      <c r="N454" s="85"/>
      <c r="O454" s="44"/>
      <c r="V454" s="56" t="s">
        <v>210</v>
      </c>
      <c r="AA454" s="302"/>
      <c r="AC454" s="483"/>
      <c r="AG454" s="97" t="s">
        <v>91</v>
      </c>
      <c r="AH454" s="85"/>
      <c r="AI454" s="85"/>
      <c r="AJ454" s="44"/>
      <c r="AK454" s="85"/>
      <c r="AL454" s="85"/>
      <c r="AM454" s="251" t="s">
        <v>203</v>
      </c>
      <c r="AN454" s="99"/>
      <c r="AO454" s="85"/>
      <c r="AP454" s="85"/>
      <c r="AQ454" s="44"/>
      <c r="AX454" s="56" t="s">
        <v>210</v>
      </c>
      <c r="BC454" s="483"/>
    </row>
    <row r="455" spans="1:55" x14ac:dyDescent="0.25">
      <c r="A455" s="302"/>
      <c r="E455" s="97" t="s">
        <v>190</v>
      </c>
      <c r="F455" s="85" t="s">
        <v>13</v>
      </c>
      <c r="G455" s="176">
        <f>G435*(44/28)*$U$13</f>
        <v>0</v>
      </c>
      <c r="H455" s="44"/>
      <c r="I455" s="85" t="s">
        <v>173</v>
      </c>
      <c r="J455" s="85"/>
      <c r="K455" s="251" t="s">
        <v>203</v>
      </c>
      <c r="L455" s="85"/>
      <c r="M455" s="85"/>
      <c r="N455" s="85"/>
      <c r="O455" s="44"/>
      <c r="V455" s="56" t="s">
        <v>210</v>
      </c>
      <c r="AA455" s="302"/>
      <c r="AC455" s="483"/>
      <c r="AG455" s="97" t="s">
        <v>190</v>
      </c>
      <c r="AH455" s="85" t="s">
        <v>13</v>
      </c>
      <c r="AI455" s="176">
        <f>AI435*(44/28)*$U$13</f>
        <v>0</v>
      </c>
      <c r="AJ455" s="44"/>
      <c r="AK455" s="85" t="s">
        <v>173</v>
      </c>
      <c r="AL455" s="85"/>
      <c r="AM455" s="251" t="s">
        <v>203</v>
      </c>
      <c r="AN455" s="85"/>
      <c r="AO455" s="85"/>
      <c r="AP455" s="85"/>
      <c r="AQ455" s="44"/>
      <c r="AX455" s="56" t="s">
        <v>210</v>
      </c>
      <c r="BC455" s="483"/>
    </row>
    <row r="456" spans="1:55" x14ac:dyDescent="0.25">
      <c r="A456" s="302"/>
      <c r="E456" s="97" t="s">
        <v>189</v>
      </c>
      <c r="F456" s="85" t="s">
        <v>13</v>
      </c>
      <c r="G456" s="182">
        <f>G436*(44/28)*M434*$U$13</f>
        <v>0</v>
      </c>
      <c r="H456" s="44"/>
      <c r="I456" s="85" t="s">
        <v>174</v>
      </c>
      <c r="J456" s="85"/>
      <c r="K456" s="251" t="s">
        <v>203</v>
      </c>
      <c r="L456" s="85"/>
      <c r="M456" s="85"/>
      <c r="N456" s="85"/>
      <c r="O456" s="44"/>
      <c r="V456" s="56" t="s">
        <v>210</v>
      </c>
      <c r="AA456" s="302"/>
      <c r="AC456" s="483"/>
      <c r="AG456" s="97" t="s">
        <v>189</v>
      </c>
      <c r="AH456" s="85" t="s">
        <v>13</v>
      </c>
      <c r="AI456" s="182">
        <f>AI436*(44/28)*AO434*$U$13</f>
        <v>0</v>
      </c>
      <c r="AJ456" s="44"/>
      <c r="AK456" s="85" t="s">
        <v>174</v>
      </c>
      <c r="AL456" s="85"/>
      <c r="AM456" s="251" t="s">
        <v>203</v>
      </c>
      <c r="AN456" s="85"/>
      <c r="AO456" s="85"/>
      <c r="AP456" s="85"/>
      <c r="AQ456" s="44"/>
      <c r="AX456" s="56" t="s">
        <v>210</v>
      </c>
      <c r="BC456" s="483"/>
    </row>
    <row r="457" spans="1:55" x14ac:dyDescent="0.25">
      <c r="A457" s="302"/>
      <c r="E457" s="97" t="s">
        <v>198</v>
      </c>
      <c r="F457" s="85" t="s">
        <v>13</v>
      </c>
      <c r="G457" s="182">
        <f>G437*(44/28)*M436*$U$13</f>
        <v>0</v>
      </c>
      <c r="H457" s="44"/>
      <c r="I457" s="85" t="s">
        <v>199</v>
      </c>
      <c r="J457" s="85"/>
      <c r="K457" s="251" t="s">
        <v>203</v>
      </c>
      <c r="L457" s="85"/>
      <c r="M457" s="85"/>
      <c r="N457" s="85"/>
      <c r="O457" s="44"/>
      <c r="V457" s="56" t="s">
        <v>210</v>
      </c>
      <c r="AA457" s="302"/>
      <c r="AC457" s="483"/>
      <c r="AG457" s="97" t="s">
        <v>198</v>
      </c>
      <c r="AH457" s="85" t="s">
        <v>13</v>
      </c>
      <c r="AI457" s="182">
        <f>AI437*(44/28)*AO436*$U$13</f>
        <v>0</v>
      </c>
      <c r="AJ457" s="44"/>
      <c r="AK457" s="85" t="s">
        <v>199</v>
      </c>
      <c r="AL457" s="85"/>
      <c r="AM457" s="251" t="s">
        <v>203</v>
      </c>
      <c r="AN457" s="85"/>
      <c r="AO457" s="85"/>
      <c r="AP457" s="85"/>
      <c r="AQ457" s="44"/>
      <c r="AX457" s="56" t="s">
        <v>210</v>
      </c>
      <c r="BC457" s="483"/>
    </row>
    <row r="458" spans="1:55" x14ac:dyDescent="0.25">
      <c r="A458" s="302"/>
      <c r="E458" s="66"/>
      <c r="F458" s="44"/>
      <c r="G458" s="44"/>
      <c r="H458" s="44"/>
      <c r="I458" s="44"/>
      <c r="J458" s="44"/>
      <c r="K458" s="251" t="s">
        <v>203</v>
      </c>
      <c r="L458" s="85"/>
      <c r="M458" s="85"/>
      <c r="N458" s="85"/>
      <c r="O458" s="44"/>
      <c r="V458" s="56" t="s">
        <v>210</v>
      </c>
      <c r="AA458" s="302"/>
      <c r="AC458" s="483"/>
      <c r="AG458" s="66"/>
      <c r="AH458" s="44"/>
      <c r="AI458" s="44"/>
      <c r="AJ458" s="44"/>
      <c r="AK458" s="44"/>
      <c r="AL458" s="44"/>
      <c r="AM458" s="251" t="s">
        <v>203</v>
      </c>
      <c r="AN458" s="85"/>
      <c r="AO458" s="85"/>
      <c r="AP458" s="85"/>
      <c r="AQ458" s="44"/>
      <c r="AX458" s="56" t="s">
        <v>210</v>
      </c>
      <c r="BC458" s="483"/>
    </row>
    <row r="459" spans="1:55" x14ac:dyDescent="0.25">
      <c r="A459" s="302"/>
      <c r="E459" s="97" t="s">
        <v>15</v>
      </c>
      <c r="F459" s="85"/>
      <c r="G459" s="85"/>
      <c r="H459" s="44"/>
      <c r="I459" s="85"/>
      <c r="J459" s="85"/>
      <c r="K459" s="65"/>
      <c r="L459" s="85"/>
      <c r="M459" s="85"/>
      <c r="N459" s="85"/>
      <c r="O459" s="44"/>
      <c r="V459" s="56" t="s">
        <v>210</v>
      </c>
      <c r="AA459" s="302"/>
      <c r="AC459" s="483"/>
      <c r="AG459" s="97" t="s">
        <v>15</v>
      </c>
      <c r="AH459" s="85"/>
      <c r="AI459" s="85"/>
      <c r="AJ459" s="44"/>
      <c r="AK459" s="85"/>
      <c r="AL459" s="85"/>
      <c r="AM459" s="65"/>
      <c r="AN459" s="85"/>
      <c r="AO459" s="85"/>
      <c r="AP459" s="85"/>
      <c r="AQ459" s="44"/>
      <c r="AX459" s="56" t="s">
        <v>210</v>
      </c>
      <c r="BC459" s="483"/>
    </row>
    <row r="460" spans="1:55" x14ac:dyDescent="0.25">
      <c r="A460" s="302"/>
      <c r="E460" s="96" t="s">
        <v>186</v>
      </c>
      <c r="F460" s="84" t="s">
        <v>13</v>
      </c>
      <c r="G460" s="182">
        <f>G451*(44/28)*$U$13</f>
        <v>64.036293749999984</v>
      </c>
      <c r="H460" s="44"/>
      <c r="I460" s="85" t="s">
        <v>175</v>
      </c>
      <c r="J460" s="85"/>
      <c r="K460" s="251" t="s">
        <v>203</v>
      </c>
      <c r="L460" s="85"/>
      <c r="M460" s="85"/>
      <c r="N460" s="85"/>
      <c r="O460" s="44"/>
      <c r="AA460" s="302"/>
      <c r="AC460" s="483"/>
      <c r="AG460" s="96" t="s">
        <v>186</v>
      </c>
      <c r="AH460" s="84" t="s">
        <v>13</v>
      </c>
      <c r="AI460" s="182">
        <f>AI451*(44/28)*$U$13</f>
        <v>47.024834999999996</v>
      </c>
      <c r="AJ460" s="44"/>
      <c r="AK460" s="85" t="s">
        <v>175</v>
      </c>
      <c r="AL460" s="85"/>
      <c r="AM460" s="251" t="s">
        <v>203</v>
      </c>
      <c r="AN460" s="85"/>
      <c r="AO460" s="85"/>
      <c r="AP460" s="85"/>
      <c r="AQ460" s="44"/>
      <c r="BC460" s="483"/>
    </row>
    <row r="461" spans="1:55" x14ac:dyDescent="0.25">
      <c r="A461" s="302"/>
      <c r="E461" s="96" t="s">
        <v>187</v>
      </c>
      <c r="F461" s="84" t="s">
        <v>13</v>
      </c>
      <c r="G461" s="182">
        <f>G452*(44/28)*M434*$U$13</f>
        <v>3.2432399999999997</v>
      </c>
      <c r="H461" s="44"/>
      <c r="I461" s="85" t="s">
        <v>176</v>
      </c>
      <c r="J461" s="85"/>
      <c r="K461" s="251" t="s">
        <v>203</v>
      </c>
      <c r="L461" s="195"/>
      <c r="M461" s="195"/>
      <c r="N461" s="195"/>
      <c r="AA461" s="302"/>
      <c r="AC461" s="483"/>
      <c r="AG461" s="96" t="s">
        <v>187</v>
      </c>
      <c r="AH461" s="84" t="s">
        <v>13</v>
      </c>
      <c r="AI461" s="182">
        <f>AI452*(44/28)*AO434*$U$13</f>
        <v>2.3423399999999996</v>
      </c>
      <c r="AJ461" s="44"/>
      <c r="AK461" s="85" t="s">
        <v>176</v>
      </c>
      <c r="AL461" s="85"/>
      <c r="AM461" s="251" t="s">
        <v>203</v>
      </c>
      <c r="AN461" s="195"/>
      <c r="AO461" s="195"/>
      <c r="AP461" s="195"/>
      <c r="BC461" s="483"/>
    </row>
    <row r="462" spans="1:55" x14ac:dyDescent="0.25">
      <c r="A462" s="302"/>
      <c r="E462" s="96"/>
      <c r="F462" s="84"/>
      <c r="G462" s="182"/>
      <c r="H462" s="44"/>
      <c r="I462" s="85"/>
      <c r="J462" s="85"/>
      <c r="K462" s="251" t="s">
        <v>203</v>
      </c>
      <c r="L462" s="195"/>
      <c r="M462" s="195"/>
      <c r="N462" s="195"/>
      <c r="AA462" s="302"/>
      <c r="AC462" s="483"/>
      <c r="AG462" s="96"/>
      <c r="AH462" s="84"/>
      <c r="AI462" s="182"/>
      <c r="AJ462" s="44"/>
      <c r="AK462" s="85"/>
      <c r="AL462" s="85"/>
      <c r="AM462" s="251" t="s">
        <v>203</v>
      </c>
      <c r="AN462" s="195"/>
      <c r="AO462" s="195"/>
      <c r="AP462" s="195"/>
      <c r="BC462" s="483"/>
    </row>
    <row r="463" spans="1:55" x14ac:dyDescent="0.25">
      <c r="A463" s="302"/>
      <c r="E463" s="97" t="s">
        <v>92</v>
      </c>
      <c r="F463" s="85"/>
      <c r="G463" s="85"/>
      <c r="H463" s="44"/>
      <c r="I463" s="85"/>
      <c r="J463" s="85"/>
      <c r="K463" s="251" t="s">
        <v>203</v>
      </c>
      <c r="L463" s="195"/>
      <c r="M463" s="195"/>
      <c r="N463" s="195"/>
      <c r="AA463" s="302"/>
      <c r="AC463" s="483"/>
      <c r="AG463" s="97" t="s">
        <v>92</v>
      </c>
      <c r="AH463" s="85"/>
      <c r="AI463" s="85"/>
      <c r="AJ463" s="44"/>
      <c r="AK463" s="85"/>
      <c r="AL463" s="85"/>
      <c r="AM463" s="251" t="s">
        <v>203</v>
      </c>
      <c r="AN463" s="195"/>
      <c r="AO463" s="195"/>
      <c r="AP463" s="195"/>
      <c r="BC463" s="483"/>
    </row>
    <row r="464" spans="1:55" x14ac:dyDescent="0.25">
      <c r="A464" s="302"/>
      <c r="E464" s="97" t="s">
        <v>191</v>
      </c>
      <c r="F464" s="84" t="s">
        <v>13</v>
      </c>
      <c r="G464" s="176">
        <f>G455+G460</f>
        <v>64.036293749999984</v>
      </c>
      <c r="H464" s="44"/>
      <c r="I464" s="85"/>
      <c r="J464" s="85"/>
      <c r="K464" s="251" t="s">
        <v>203</v>
      </c>
      <c r="L464" s="195"/>
      <c r="M464" s="195"/>
      <c r="N464" s="195"/>
      <c r="AA464" s="302"/>
      <c r="AC464" s="483"/>
      <c r="AG464" s="97" t="s">
        <v>191</v>
      </c>
      <c r="AH464" s="84" t="s">
        <v>13</v>
      </c>
      <c r="AI464" s="176">
        <f>AI455+AI460</f>
        <v>47.024834999999996</v>
      </c>
      <c r="AJ464" s="44"/>
      <c r="AK464" s="85"/>
      <c r="AL464" s="85"/>
      <c r="AM464" s="251" t="s">
        <v>203</v>
      </c>
      <c r="AN464" s="195"/>
      <c r="AO464" s="195"/>
      <c r="AP464" s="195"/>
      <c r="BC464" s="483"/>
    </row>
    <row r="465" spans="1:55" x14ac:dyDescent="0.25">
      <c r="A465" s="302"/>
      <c r="E465" s="97" t="s">
        <v>192</v>
      </c>
      <c r="F465" s="84" t="s">
        <v>13</v>
      </c>
      <c r="G465" s="176">
        <f>G456+G457+G461</f>
        <v>3.2432399999999997</v>
      </c>
      <c r="H465" s="44"/>
      <c r="I465" s="85"/>
      <c r="J465" s="85"/>
      <c r="K465" s="251" t="s">
        <v>203</v>
      </c>
      <c r="L465" s="195"/>
      <c r="M465" s="195"/>
      <c r="N465" s="195"/>
      <c r="AA465" s="302"/>
      <c r="AC465" s="483"/>
      <c r="AG465" s="97" t="s">
        <v>192</v>
      </c>
      <c r="AH465" s="84" t="s">
        <v>13</v>
      </c>
      <c r="AI465" s="176">
        <f>AI456+AI457+AI461</f>
        <v>2.3423399999999996</v>
      </c>
      <c r="AJ465" s="44"/>
      <c r="AK465" s="85"/>
      <c r="AL465" s="85"/>
      <c r="AM465" s="251" t="s">
        <v>203</v>
      </c>
      <c r="AN465" s="195"/>
      <c r="AO465" s="195"/>
      <c r="AP465" s="195"/>
      <c r="BC465" s="483"/>
    </row>
    <row r="466" spans="1:55" x14ac:dyDescent="0.25">
      <c r="A466" s="302"/>
      <c r="E466" s="115"/>
      <c r="F466" s="24"/>
      <c r="G466" s="24"/>
      <c r="H466" s="24"/>
      <c r="I466" s="24"/>
      <c r="J466" s="24"/>
      <c r="K466" s="253" t="s">
        <v>203</v>
      </c>
      <c r="L466" s="195"/>
      <c r="M466" s="195"/>
      <c r="N466" s="195"/>
      <c r="AA466" s="302"/>
      <c r="AC466" s="483"/>
      <c r="AG466" s="115"/>
      <c r="AH466" s="24"/>
      <c r="AI466" s="24"/>
      <c r="AJ466" s="24"/>
      <c r="AK466" s="24"/>
      <c r="AL466" s="24"/>
      <c r="AM466" s="253" t="s">
        <v>203</v>
      </c>
      <c r="AN466" s="195"/>
      <c r="AO466" s="195"/>
      <c r="AP466" s="195"/>
      <c r="BC466" s="483"/>
    </row>
    <row r="467" spans="1:55" x14ac:dyDescent="0.25">
      <c r="E467" s="44"/>
      <c r="F467" s="44"/>
      <c r="G467" s="44"/>
      <c r="I467" s="44"/>
      <c r="J467" s="44"/>
      <c r="K467" s="208" t="s">
        <v>203</v>
      </c>
      <c r="L467" s="195"/>
      <c r="M467" s="195"/>
      <c r="N467" s="195"/>
      <c r="P467" s="44"/>
      <c r="Q467" s="44"/>
      <c r="R467" s="44"/>
      <c r="S467" s="44"/>
      <c r="T467" s="44"/>
      <c r="U467" s="44" t="s">
        <v>210</v>
      </c>
      <c r="V467" s="44"/>
      <c r="AG467" s="44"/>
      <c r="AH467" s="44"/>
      <c r="AI467" s="44"/>
      <c r="AK467" s="44"/>
      <c r="AL467" s="44"/>
      <c r="AM467" s="208" t="s">
        <v>203</v>
      </c>
      <c r="AN467" s="195"/>
      <c r="AO467" s="195"/>
      <c r="AP467" s="195"/>
      <c r="AR467" s="44"/>
      <c r="AS467" s="44"/>
      <c r="AT467" s="44"/>
      <c r="AU467" s="44"/>
      <c r="AV467" s="44"/>
      <c r="AW467" s="44" t="s">
        <v>210</v>
      </c>
      <c r="AX467" s="44"/>
    </row>
    <row r="468" spans="1:55" x14ac:dyDescent="0.25">
      <c r="A468" s="302"/>
      <c r="B468" s="562" t="str">
        <f>'CH4_Gylle_Stald&amp;Lager'!V330</f>
        <v>Malkekøer, tung race Tyre u. 12 mdr. -ttu12</v>
      </c>
      <c r="C468" s="195"/>
      <c r="K468" s="207" t="s">
        <v>203</v>
      </c>
      <c r="L468" s="195"/>
      <c r="M468" s="195"/>
      <c r="N468" s="195"/>
      <c r="Q468" s="577" t="str">
        <f>B468</f>
        <v>Malkekøer, tung race Tyre u. 12 mdr. -ttu12</v>
      </c>
      <c r="R468" s="139"/>
      <c r="S468" s="139"/>
      <c r="T468" s="139"/>
      <c r="U468" s="139"/>
      <c r="V468" s="139" t="s">
        <v>210</v>
      </c>
      <c r="W468" s="139"/>
      <c r="X468" s="139"/>
      <c r="Y468" s="139"/>
      <c r="Z468" s="139"/>
      <c r="AA468" s="302"/>
      <c r="AC468" s="483"/>
      <c r="AD468" s="562" t="str">
        <f>'CH4_Gylle_Stald&amp;Lager'!AH330</f>
        <v>Malkekøer, jersey Tyre u. 12 mdr. -jtu12</v>
      </c>
      <c r="AE468" s="195"/>
      <c r="AM468" s="207" t="s">
        <v>203</v>
      </c>
      <c r="AN468" s="195"/>
      <c r="AO468" s="195"/>
      <c r="AP468" s="195"/>
      <c r="AS468" s="678" t="str">
        <f>AD468</f>
        <v>Malkekøer, jersey Tyre u. 12 mdr. -jtu12</v>
      </c>
      <c r="AT468" s="139"/>
      <c r="AU468" s="139"/>
      <c r="AV468" s="139"/>
      <c r="AW468" s="139"/>
      <c r="AX468" s="139" t="s">
        <v>210</v>
      </c>
      <c r="AY468" s="139"/>
      <c r="AZ468" s="139"/>
      <c r="BA468" s="139"/>
      <c r="BB468" s="139"/>
      <c r="BC468" s="483"/>
    </row>
    <row r="469" spans="1:55" x14ac:dyDescent="0.25">
      <c r="A469" s="302"/>
      <c r="B469" s="135" t="s">
        <v>93</v>
      </c>
      <c r="C469" s="567"/>
      <c r="E469" s="104" t="s">
        <v>83</v>
      </c>
      <c r="F469" s="674" t="s">
        <v>9</v>
      </c>
      <c r="G469" s="111"/>
      <c r="H469" s="111"/>
      <c r="I469" s="111"/>
      <c r="J469" s="111"/>
      <c r="K469" s="248" t="s">
        <v>203</v>
      </c>
      <c r="L469" s="178"/>
      <c r="M469" s="178" t="s">
        <v>23</v>
      </c>
      <c r="N469" s="200" t="s">
        <v>27</v>
      </c>
      <c r="Q469" s="103"/>
      <c r="R469" s="191"/>
      <c r="S469" s="191"/>
      <c r="T469" s="191"/>
      <c r="U469" s="297"/>
      <c r="V469" s="298" t="s">
        <v>210</v>
      </c>
      <c r="W469" s="178"/>
      <c r="X469" s="178" t="s">
        <v>23</v>
      </c>
      <c r="Y469" s="200" t="s">
        <v>27</v>
      </c>
      <c r="Z469" s="139"/>
      <c r="AA469" s="302"/>
      <c r="AC469" s="483"/>
      <c r="AD469" s="135" t="s">
        <v>93</v>
      </c>
      <c r="AE469" s="567"/>
      <c r="AG469" s="104" t="s">
        <v>83</v>
      </c>
      <c r="AH469" s="674" t="s">
        <v>9</v>
      </c>
      <c r="AI469" s="111"/>
      <c r="AJ469" s="111"/>
      <c r="AK469" s="111"/>
      <c r="AL469" s="111"/>
      <c r="AM469" s="248" t="s">
        <v>203</v>
      </c>
      <c r="AN469" s="178"/>
      <c r="AO469" s="178" t="s">
        <v>23</v>
      </c>
      <c r="AP469" s="200" t="s">
        <v>27</v>
      </c>
      <c r="AS469" s="103"/>
      <c r="AT469" s="191"/>
      <c r="AU469" s="191"/>
      <c r="AV469" s="191"/>
      <c r="AW469" s="297"/>
      <c r="AX469" s="298" t="s">
        <v>210</v>
      </c>
      <c r="AY469" s="178"/>
      <c r="AZ469" s="178" t="s">
        <v>23</v>
      </c>
      <c r="BA469" s="200" t="s">
        <v>27</v>
      </c>
      <c r="BB469" s="139"/>
      <c r="BC469" s="483"/>
    </row>
    <row r="470" spans="1:55" x14ac:dyDescent="0.25">
      <c r="A470" s="302"/>
      <c r="B470" s="136" t="s">
        <v>81</v>
      </c>
      <c r="C470" s="575">
        <f>'CH4_Gylle_Stald&amp;Lager'!X333</f>
        <v>0</v>
      </c>
      <c r="E470" s="105" t="s">
        <v>231</v>
      </c>
      <c r="F470" s="675" t="s">
        <v>25</v>
      </c>
      <c r="G470" s="123"/>
      <c r="H470" s="123"/>
      <c r="I470" s="123"/>
      <c r="J470" s="123"/>
      <c r="K470" s="249" t="s">
        <v>203</v>
      </c>
      <c r="L470" s="175" t="s">
        <v>236</v>
      </c>
      <c r="M470" s="44"/>
      <c r="N470" s="65"/>
      <c r="Q470" s="255" t="s">
        <v>241</v>
      </c>
      <c r="R470" s="675" t="str">
        <f>F470</f>
        <v>Sengestald med spalter (kanal, bagskyl eller ringkanal)</v>
      </c>
      <c r="S470" s="192"/>
      <c r="T470" s="192"/>
      <c r="U470" s="192"/>
      <c r="V470" s="243"/>
      <c r="W470" s="175" t="s">
        <v>361</v>
      </c>
      <c r="X470" s="85"/>
      <c r="Y470" s="186"/>
      <c r="Z470" s="139"/>
      <c r="AA470" s="302"/>
      <c r="AC470" s="483"/>
      <c r="AD470" s="136" t="s">
        <v>81</v>
      </c>
      <c r="AE470" s="575">
        <f>'CH4_Gylle_Stald&amp;Lager'!AJ333</f>
        <v>0</v>
      </c>
      <c r="AG470" s="105" t="s">
        <v>231</v>
      </c>
      <c r="AH470" s="675" t="s">
        <v>25</v>
      </c>
      <c r="AI470" s="123"/>
      <c r="AJ470" s="123"/>
      <c r="AK470" s="123"/>
      <c r="AL470" s="123"/>
      <c r="AM470" s="249" t="s">
        <v>203</v>
      </c>
      <c r="AN470" s="175" t="s">
        <v>236</v>
      </c>
      <c r="AO470" s="44"/>
      <c r="AP470" s="65"/>
      <c r="AS470" s="255" t="s">
        <v>241</v>
      </c>
      <c r="AT470" s="675" t="str">
        <f>AH470</f>
        <v>Sengestald med spalter (kanal, bagskyl eller ringkanal)</v>
      </c>
      <c r="AU470" s="192"/>
      <c r="AV470" s="192"/>
      <c r="AW470" s="192"/>
      <c r="AX470" s="243"/>
      <c r="AY470" s="175" t="s">
        <v>361</v>
      </c>
      <c r="AZ470" s="85"/>
      <c r="BA470" s="186"/>
      <c r="BB470" s="139"/>
      <c r="BC470" s="483"/>
    </row>
    <row r="471" spans="1:55" x14ac:dyDescent="0.25">
      <c r="A471" s="302"/>
      <c r="B471" s="137" t="s">
        <v>82</v>
      </c>
      <c r="C471" s="576">
        <f>'CH4_Gylle_Stald&amp;Lager'!X334</f>
        <v>0</v>
      </c>
      <c r="E471" s="106"/>
      <c r="F471" s="676" t="s">
        <v>30</v>
      </c>
      <c r="G471" s="112"/>
      <c r="H471" s="112"/>
      <c r="I471" s="112"/>
      <c r="J471" s="112"/>
      <c r="K471" s="250" t="s">
        <v>203</v>
      </c>
      <c r="L471" s="44" t="s">
        <v>170</v>
      </c>
      <c r="M471" s="44">
        <f>INDEX($E$4:$N$19,MATCH(F470,$E$4:$E$19, 0),3)</f>
        <v>0.2</v>
      </c>
      <c r="N471" s="65">
        <f>INDEX($E$4:$N$19,MATCH(F470,$E$4:$E$19, 0),4)</f>
        <v>0</v>
      </c>
      <c r="Q471" s="255" t="s">
        <v>242</v>
      </c>
      <c r="R471" s="675" t="str">
        <f>F471</f>
        <v>Dybstrøelse, lang ædeplads med spalter (kanal, bagskyl eller ringkanal)</v>
      </c>
      <c r="S471" s="192"/>
      <c r="T471" s="192"/>
      <c r="U471" s="192"/>
      <c r="V471" s="243"/>
      <c r="W471" s="44" t="s">
        <v>170</v>
      </c>
      <c r="X471" s="44">
        <f>INDEX($E$22:$N$24,MATCH(R472,$E$22:$E$24, 0),3)</f>
        <v>0.5</v>
      </c>
      <c r="Y471" s="65">
        <f>INDEX($E$22:$N$24,MATCH(R472,$E$22:$E$24, 0),4)</f>
        <v>0</v>
      </c>
      <c r="Z471" s="139"/>
      <c r="AA471" s="302"/>
      <c r="AC471" s="483"/>
      <c r="AD471" s="137" t="s">
        <v>82</v>
      </c>
      <c r="AE471" s="576">
        <f>'CH4_Gylle_Stald&amp;Lager'!AJ334</f>
        <v>0</v>
      </c>
      <c r="AG471" s="106"/>
      <c r="AH471" s="676" t="s">
        <v>30</v>
      </c>
      <c r="AI471" s="112"/>
      <c r="AJ471" s="112"/>
      <c r="AK471" s="112"/>
      <c r="AL471" s="112"/>
      <c r="AM471" s="250" t="s">
        <v>203</v>
      </c>
      <c r="AN471" s="44" t="s">
        <v>170</v>
      </c>
      <c r="AO471" s="44">
        <f>INDEX($E$4:$N$19,MATCH(AH470,$E$4:$E$19, 0),3)</f>
        <v>0.2</v>
      </c>
      <c r="AP471" s="65">
        <f>INDEX($E$4:$N$19,MATCH(AH470,$E$4:$E$19, 0),4)</f>
        <v>0</v>
      </c>
      <c r="AS471" s="255" t="s">
        <v>242</v>
      </c>
      <c r="AT471" s="675" t="str">
        <f>AH471</f>
        <v>Dybstrøelse, lang ædeplads med spalter (kanal, bagskyl eller ringkanal)</v>
      </c>
      <c r="AU471" s="192"/>
      <c r="AV471" s="192"/>
      <c r="AW471" s="192"/>
      <c r="AX471" s="243"/>
      <c r="AY471" s="44" t="s">
        <v>170</v>
      </c>
      <c r="AZ471" s="44">
        <f>INDEX($E$22:$N$24,MATCH(AT472,$E$22:$E$24, 0),3)</f>
        <v>0.5</v>
      </c>
      <c r="BA471" s="65">
        <f>INDEX($E$22:$N$24,MATCH(AT472,$E$22:$E$24, 0),4)</f>
        <v>0</v>
      </c>
      <c r="BB471" s="139"/>
      <c r="BC471" s="483"/>
    </row>
    <row r="472" spans="1:55" x14ac:dyDescent="0.25">
      <c r="A472" s="303"/>
      <c r="B472" s="138"/>
      <c r="C472" s="568"/>
      <c r="E472" s="43"/>
      <c r="F472" s="294" t="s">
        <v>5</v>
      </c>
      <c r="G472" s="295" t="s">
        <v>6</v>
      </c>
      <c r="H472" s="296" t="s">
        <v>356</v>
      </c>
      <c r="I472" s="44"/>
      <c r="J472" s="44"/>
      <c r="K472" s="251" t="s">
        <v>203</v>
      </c>
      <c r="L472" s="44" t="s">
        <v>2</v>
      </c>
      <c r="M472" s="44"/>
      <c r="N472" s="65">
        <f>INDEX($E$4:$N$19,MATCH(F470,$E$4:$E$19, 0),7)</f>
        <v>0</v>
      </c>
      <c r="Q472" s="255" t="s">
        <v>360</v>
      </c>
      <c r="R472" s="675" t="s">
        <v>127</v>
      </c>
      <c r="S472" s="192"/>
      <c r="T472" s="192"/>
      <c r="U472" s="192"/>
      <c r="V472" s="243"/>
      <c r="W472" s="44" t="s">
        <v>1</v>
      </c>
      <c r="X472" s="44">
        <f>INDEX($E$22:$N$24,MATCH(R472,$E$22:$E$24, 0),6)</f>
        <v>3.4</v>
      </c>
      <c r="Y472" s="65"/>
      <c r="Z472" s="139"/>
      <c r="AA472" s="303"/>
      <c r="AC472" s="484"/>
      <c r="AD472" s="138"/>
      <c r="AE472" s="568"/>
      <c r="AG472" s="43"/>
      <c r="AH472" s="294" t="s">
        <v>5</v>
      </c>
      <c r="AI472" s="295" t="s">
        <v>6</v>
      </c>
      <c r="AJ472" s="296" t="s">
        <v>356</v>
      </c>
      <c r="AK472" s="44"/>
      <c r="AL472" s="44"/>
      <c r="AM472" s="251" t="s">
        <v>203</v>
      </c>
      <c r="AN472" s="44" t="s">
        <v>2</v>
      </c>
      <c r="AO472" s="44"/>
      <c r="AP472" s="65">
        <f>INDEX($E$4:$N$19,MATCH(AH470,$E$4:$E$19, 0),7)</f>
        <v>0</v>
      </c>
      <c r="AS472" s="255" t="s">
        <v>360</v>
      </c>
      <c r="AT472" s="675" t="s">
        <v>127</v>
      </c>
      <c r="AU472" s="192"/>
      <c r="AV472" s="192"/>
      <c r="AW472" s="192"/>
      <c r="AX472" s="243"/>
      <c r="AY472" s="44" t="s">
        <v>1</v>
      </c>
      <c r="AZ472" s="44">
        <f>INDEX($E$22:$N$24,MATCH(AT472,$E$22:$E$24, 0),6)</f>
        <v>3.4</v>
      </c>
      <c r="BA472" s="65"/>
      <c r="BB472" s="139"/>
      <c r="BC472" s="484"/>
    </row>
    <row r="473" spans="1:55" x14ac:dyDescent="0.25">
      <c r="A473" s="303"/>
      <c r="B473" s="229" t="s">
        <v>221</v>
      </c>
      <c r="C473" s="569"/>
      <c r="E473" s="66" t="s">
        <v>101</v>
      </c>
      <c r="F473" s="305">
        <f>INDEX(Normtal!$Q$3:$AC$551,MATCH(B468,Normtal!$Q$3:$Q$551,0),3)</f>
        <v>20.832445299837925</v>
      </c>
      <c r="G473" s="281"/>
      <c r="H473" s="285">
        <f>INDEX(Normtal!$Q$3:$AC$551,MATCH(B468,Normtal!$Q$3:$Q$551,0),4)</f>
        <v>13.829197730956238</v>
      </c>
      <c r="I473" s="85"/>
      <c r="J473" s="44"/>
      <c r="K473" s="251" t="s">
        <v>203</v>
      </c>
      <c r="L473" s="44" t="s">
        <v>1</v>
      </c>
      <c r="M473" s="44">
        <f>INDEX($E$4:$N$19,MATCH(F470,$E$4:$E$19, 0),6)</f>
        <v>13.5</v>
      </c>
      <c r="N473" s="65"/>
      <c r="Q473" s="299" t="s">
        <v>359</v>
      </c>
      <c r="R473" s="676" t="s">
        <v>135</v>
      </c>
      <c r="S473" s="194"/>
      <c r="T473" s="194"/>
      <c r="U473" s="194"/>
      <c r="V473" s="241"/>
      <c r="W473" s="44" t="s">
        <v>2</v>
      </c>
      <c r="X473" s="44"/>
      <c r="Y473" s="65">
        <f>INDEX($E$22:$N$24,MATCH(R472,$E$22:$E$24, 0),7)</f>
        <v>2</v>
      </c>
      <c r="Z473" s="139"/>
      <c r="AA473" s="303"/>
      <c r="AC473" s="484"/>
      <c r="AD473" s="229" t="s">
        <v>221</v>
      </c>
      <c r="AE473" s="569"/>
      <c r="AG473" s="66" t="s">
        <v>101</v>
      </c>
      <c r="AH473" s="305">
        <f>INDEX(Normtal!$Q$3:$AC$551,MATCH(AD468,Normtal!$Q$3:$Q$551,0),3)</f>
        <v>27.285157393258427</v>
      </c>
      <c r="AI473" s="281"/>
      <c r="AJ473" s="285">
        <f>INDEX(Normtal!$Q$3:$AC$551,MATCH(AD468,Normtal!$Q$3:$Q$551,0),4)</f>
        <v>17.942956764044943</v>
      </c>
      <c r="AK473" s="85"/>
      <c r="AL473" s="44"/>
      <c r="AM473" s="251" t="s">
        <v>203</v>
      </c>
      <c r="AN473" s="44" t="s">
        <v>1</v>
      </c>
      <c r="AO473" s="44">
        <f>INDEX($E$4:$N$19,MATCH(AH470,$E$4:$E$19, 0),6)</f>
        <v>13.5</v>
      </c>
      <c r="AP473" s="65"/>
      <c r="AS473" s="299" t="s">
        <v>359</v>
      </c>
      <c r="AT473" s="676" t="s">
        <v>135</v>
      </c>
      <c r="AU473" s="194"/>
      <c r="AV473" s="194"/>
      <c r="AW473" s="194"/>
      <c r="AX473" s="241"/>
      <c r="AY473" s="44" t="s">
        <v>2</v>
      </c>
      <c r="AZ473" s="44"/>
      <c r="BA473" s="65">
        <f>INDEX($E$22:$N$24,MATCH(AT472,$E$22:$E$24, 0),7)</f>
        <v>2</v>
      </c>
      <c r="BB473" s="139"/>
      <c r="BC473" s="484"/>
    </row>
    <row r="474" spans="1:55" x14ac:dyDescent="0.25">
      <c r="A474" s="303"/>
      <c r="B474" s="231" t="s">
        <v>224</v>
      </c>
      <c r="C474" s="574">
        <f>'CH4_Gylle_Stald&amp;Lager'!X337</f>
        <v>0.25</v>
      </c>
      <c r="E474" s="66" t="s">
        <v>103</v>
      </c>
      <c r="F474" s="305">
        <f>F473*(C470/365)*(C471/24)</f>
        <v>0</v>
      </c>
      <c r="G474" s="281"/>
      <c r="H474" s="285">
        <f>H473*(C470/365)*(C471/24)</f>
        <v>0</v>
      </c>
      <c r="I474" s="44" t="s">
        <v>357</v>
      </c>
      <c r="J474" s="44"/>
      <c r="K474" s="251" t="s">
        <v>203</v>
      </c>
      <c r="L474" s="175" t="s">
        <v>237</v>
      </c>
      <c r="M474" s="44"/>
      <c r="N474" s="65"/>
      <c r="Q474" s="118"/>
      <c r="R474" s="119"/>
      <c r="S474" s="119"/>
      <c r="T474" s="119"/>
      <c r="U474" s="119"/>
      <c r="V474" s="124"/>
      <c r="W474" s="56" t="s">
        <v>177</v>
      </c>
      <c r="X474" s="310">
        <f>$J$26</f>
        <v>0.5</v>
      </c>
      <c r="Z474" s="139"/>
      <c r="AA474" s="303"/>
      <c r="AC474" s="484"/>
      <c r="AD474" s="231" t="s">
        <v>224</v>
      </c>
      <c r="AE474" s="574">
        <f>'CH4_Gylle_Stald&amp;Lager'!AJ337</f>
        <v>0.18</v>
      </c>
      <c r="AG474" s="66" t="s">
        <v>103</v>
      </c>
      <c r="AH474" s="305">
        <f>AH473*(AE470/365)*(AE471/24)</f>
        <v>0</v>
      </c>
      <c r="AI474" s="281"/>
      <c r="AJ474" s="285">
        <f>AJ473*(AE470/365)*(AE471/24)</f>
        <v>0</v>
      </c>
      <c r="AK474" s="44" t="s">
        <v>357</v>
      </c>
      <c r="AL474" s="44"/>
      <c r="AM474" s="251" t="s">
        <v>203</v>
      </c>
      <c r="AN474" s="175" t="s">
        <v>237</v>
      </c>
      <c r="AO474" s="44"/>
      <c r="AP474" s="65"/>
      <c r="AS474" s="118"/>
      <c r="AT474" s="119"/>
      <c r="AU474" s="119"/>
      <c r="AV474" s="119"/>
      <c r="AW474" s="119"/>
      <c r="AX474" s="124"/>
      <c r="AY474" s="56" t="s">
        <v>177</v>
      </c>
      <c r="AZ474" s="310">
        <f>$J$26</f>
        <v>0.5</v>
      </c>
      <c r="BB474" s="139"/>
      <c r="BC474" s="484"/>
    </row>
    <row r="475" spans="1:55" x14ac:dyDescent="0.25">
      <c r="A475" s="303"/>
      <c r="B475" s="233" t="s">
        <v>223</v>
      </c>
      <c r="C475" s="570">
        <f>(365-C470*C471/24)*C474</f>
        <v>91.25</v>
      </c>
      <c r="D475" s="254"/>
      <c r="E475" s="66" t="s">
        <v>104</v>
      </c>
      <c r="F475" s="306">
        <f>F473-F474</f>
        <v>20.832445299837925</v>
      </c>
      <c r="G475" s="289"/>
      <c r="H475" s="287">
        <f>H473-H474</f>
        <v>13.829197730956238</v>
      </c>
      <c r="I475" s="44" t="s">
        <v>358</v>
      </c>
      <c r="J475" s="44"/>
      <c r="K475" s="251" t="s">
        <v>203</v>
      </c>
      <c r="L475" s="99" t="s">
        <v>170</v>
      </c>
      <c r="M475" s="85">
        <f>INDEX($E$4:$N$19,MATCH(F471,$E$4:$E$19, 0),3)</f>
        <v>0.2</v>
      </c>
      <c r="N475" s="186">
        <f>INDEX($E$4:$N$19,MATCH(F471,$E$4:$E$19, 0),4)</f>
        <v>1</v>
      </c>
      <c r="Q475" s="96" t="s">
        <v>139</v>
      </c>
      <c r="R475" s="85"/>
      <c r="S475" s="85"/>
      <c r="T475" s="85"/>
      <c r="U475" s="85"/>
      <c r="V475" s="186" t="s">
        <v>210</v>
      </c>
      <c r="W475" s="175" t="s">
        <v>364</v>
      </c>
      <c r="X475" s="44"/>
      <c r="Y475" s="65"/>
      <c r="Z475" s="139"/>
      <c r="AA475" s="303"/>
      <c r="AC475" s="484"/>
      <c r="AD475" s="233" t="s">
        <v>223</v>
      </c>
      <c r="AE475" s="570">
        <f>(365-AE470*AE471/24)*AE474</f>
        <v>65.7</v>
      </c>
      <c r="AF475" s="254"/>
      <c r="AG475" s="66" t="s">
        <v>104</v>
      </c>
      <c r="AH475" s="306">
        <f>AH473-AH474</f>
        <v>27.285157393258427</v>
      </c>
      <c r="AI475" s="289"/>
      <c r="AJ475" s="287">
        <f>AJ473-AJ474</f>
        <v>17.942956764044943</v>
      </c>
      <c r="AK475" s="44" t="s">
        <v>358</v>
      </c>
      <c r="AL475" s="44"/>
      <c r="AM475" s="251" t="s">
        <v>203</v>
      </c>
      <c r="AN475" s="99" t="s">
        <v>170</v>
      </c>
      <c r="AO475" s="85">
        <f>INDEX($E$4:$N$19,MATCH(AH471,$E$4:$E$19, 0),3)</f>
        <v>0.2</v>
      </c>
      <c r="AP475" s="186">
        <f>INDEX($E$4:$N$19,MATCH(AH471,$E$4:$E$19, 0),4)</f>
        <v>1</v>
      </c>
      <c r="AS475" s="96" t="s">
        <v>139</v>
      </c>
      <c r="AT475" s="85"/>
      <c r="AU475" s="85"/>
      <c r="AV475" s="85"/>
      <c r="AW475" s="85"/>
      <c r="AX475" s="186" t="s">
        <v>210</v>
      </c>
      <c r="AY475" s="175" t="s">
        <v>364</v>
      </c>
      <c r="AZ475" s="44"/>
      <c r="BA475" s="65"/>
      <c r="BB475" s="139"/>
      <c r="BC475" s="484"/>
    </row>
    <row r="476" spans="1:55" x14ac:dyDescent="0.25">
      <c r="A476" s="303"/>
      <c r="B476" s="231" t="s">
        <v>222</v>
      </c>
      <c r="C476" s="573"/>
      <c r="E476" s="66"/>
      <c r="F476" s="677" t="s">
        <v>285</v>
      </c>
      <c r="G476" s="221" t="s">
        <v>210</v>
      </c>
      <c r="H476" s="291"/>
      <c r="I476" s="44"/>
      <c r="J476" s="44"/>
      <c r="K476" s="65"/>
      <c r="L476" s="85" t="s">
        <v>2</v>
      </c>
      <c r="M476" s="85"/>
      <c r="N476" s="186">
        <f>INDEX($E$4:$N$19,MATCH(F471,$E$4:$E$19, 0),7)</f>
        <v>6</v>
      </c>
      <c r="Q476" s="66"/>
      <c r="R476" s="44"/>
      <c r="S476" s="44"/>
      <c r="T476" s="85"/>
      <c r="U476" s="85"/>
      <c r="V476" s="186" t="s">
        <v>210</v>
      </c>
      <c r="W476" s="99" t="s">
        <v>170</v>
      </c>
      <c r="X476" s="85">
        <f>INDEX($E$22:$N$24,MATCH(R473,$E$22:$E$24, 0),3)</f>
        <v>0</v>
      </c>
      <c r="Y476" s="186">
        <f>INDEX($E$22:$N$24,MATCH(R473,$E$22:$E$24, 0),4)</f>
        <v>1</v>
      </c>
      <c r="Z476" s="139"/>
      <c r="AA476" s="303"/>
      <c r="AC476" s="484"/>
      <c r="AD476" s="231" t="s">
        <v>222</v>
      </c>
      <c r="AE476" s="573"/>
      <c r="AG476" s="66"/>
      <c r="AH476" s="677" t="s">
        <v>612</v>
      </c>
      <c r="AI476" s="221" t="s">
        <v>210</v>
      </c>
      <c r="AJ476" s="291"/>
      <c r="AK476" s="44"/>
      <c r="AL476" s="44"/>
      <c r="AM476" s="65"/>
      <c r="AN476" s="85" t="s">
        <v>2</v>
      </c>
      <c r="AO476" s="85"/>
      <c r="AP476" s="186">
        <f>INDEX($E$4:$N$19,MATCH(AH471,$E$4:$E$19, 0),7)</f>
        <v>6</v>
      </c>
      <c r="AS476" s="66"/>
      <c r="AT476" s="44"/>
      <c r="AU476" s="44"/>
      <c r="AV476" s="85"/>
      <c r="AW476" s="85"/>
      <c r="AX476" s="186" t="s">
        <v>210</v>
      </c>
      <c r="AY476" s="99" t="s">
        <v>170</v>
      </c>
      <c r="AZ476" s="85">
        <f>INDEX($E$22:$N$24,MATCH(AT473,$E$22:$E$24, 0),3)</f>
        <v>0</v>
      </c>
      <c r="BA476" s="186">
        <f>INDEX($E$22:$N$24,MATCH(AT473,$E$22:$E$24, 0),4)</f>
        <v>1</v>
      </c>
      <c r="BB476" s="139"/>
      <c r="BC476" s="484"/>
    </row>
    <row r="477" spans="1:55" x14ac:dyDescent="0.25">
      <c r="A477" s="303"/>
      <c r="B477" s="231" t="s">
        <v>224</v>
      </c>
      <c r="C477" s="571">
        <f>1-C474</f>
        <v>0.75</v>
      </c>
      <c r="E477" s="66" t="s">
        <v>232</v>
      </c>
      <c r="F477" s="305">
        <f>F475*C474*1</f>
        <v>5.2081113249594813</v>
      </c>
      <c r="G477" s="281"/>
      <c r="H477" s="286"/>
      <c r="I477" s="246" t="str">
        <f>INDEX($E$4:$N$19,MATCH(F470,$E$4:$E$19, 0),2)</f>
        <v>100% gyllesystem</v>
      </c>
      <c r="J477" s="246"/>
      <c r="K477" s="251" t="s">
        <v>203</v>
      </c>
      <c r="L477" s="99" t="s">
        <v>1</v>
      </c>
      <c r="M477" s="85">
        <f>INDEX($E$4:$N$19,MATCH(F471,$E$4:$E$19, 0),6)</f>
        <v>13.5</v>
      </c>
      <c r="N477" s="65"/>
      <c r="Q477" s="211" t="s">
        <v>371</v>
      </c>
      <c r="R477" s="85" t="s">
        <v>10</v>
      </c>
      <c r="S477" s="176">
        <f>_xlfn.AGGREGATE(9,6, F477:G477)</f>
        <v>5.2081113249594813</v>
      </c>
      <c r="T477" s="85"/>
      <c r="U477" s="44"/>
      <c r="V477" s="65"/>
      <c r="W477" s="99" t="s">
        <v>1</v>
      </c>
      <c r="X477" s="85">
        <f>INDEX($E$22:$N$24,MATCH(R473,$E$22:$E$24, 0),6)</f>
        <v>0</v>
      </c>
      <c r="Y477" s="186"/>
      <c r="Z477" s="139"/>
      <c r="AA477" s="303"/>
      <c r="AC477" s="484"/>
      <c r="AD477" s="231" t="s">
        <v>224</v>
      </c>
      <c r="AE477" s="571">
        <f>1-AE474</f>
        <v>0.82000000000000006</v>
      </c>
      <c r="AG477" s="66" t="s">
        <v>232</v>
      </c>
      <c r="AH477" s="305">
        <f>AH475*AE474*1</f>
        <v>4.9113283307865165</v>
      </c>
      <c r="AI477" s="281"/>
      <c r="AJ477" s="286"/>
      <c r="AK477" s="246" t="str">
        <f>INDEX($E$4:$N$19,MATCH(AH470,$E$4:$E$19, 0),2)</f>
        <v>100% gyllesystem</v>
      </c>
      <c r="AL477" s="246"/>
      <c r="AM477" s="251" t="s">
        <v>203</v>
      </c>
      <c r="AN477" s="99" t="s">
        <v>1</v>
      </c>
      <c r="AO477" s="85">
        <f>INDEX($E$4:$N$19,MATCH(AH471,$E$4:$E$19, 0),6)</f>
        <v>13.5</v>
      </c>
      <c r="AP477" s="65"/>
      <c r="AS477" s="211" t="s">
        <v>371</v>
      </c>
      <c r="AT477" s="85" t="s">
        <v>10</v>
      </c>
      <c r="AU477" s="176">
        <f>_xlfn.AGGREGATE(9,6, AH477:AI477)</f>
        <v>4.9113283307865165</v>
      </c>
      <c r="AV477" s="85"/>
      <c r="AW477" s="44"/>
      <c r="AX477" s="65"/>
      <c r="AY477" s="99" t="s">
        <v>1</v>
      </c>
      <c r="AZ477" s="85">
        <f>INDEX($E$22:$N$24,MATCH(AT473,$E$22:$E$24, 0),6)</f>
        <v>0</v>
      </c>
      <c r="BA477" s="186"/>
      <c r="BB477" s="139"/>
      <c r="BC477" s="484"/>
    </row>
    <row r="478" spans="1:55" x14ac:dyDescent="0.25">
      <c r="A478" s="302"/>
      <c r="B478" s="233" t="s">
        <v>81</v>
      </c>
      <c r="C478" s="570">
        <f>(365-C470*C471/24)*C477</f>
        <v>273.75</v>
      </c>
      <c r="E478" s="66" t="s">
        <v>102</v>
      </c>
      <c r="F478" s="305">
        <f>INDEX(Normtal!$Q$3:$AC$551,MATCH(F476,Normtal!$AA$3:$AA$551, 0),6)*C475/365</f>
        <v>0.11634375000000002</v>
      </c>
      <c r="G478" s="283"/>
      <c r="H478" s="286"/>
      <c r="I478" s="44"/>
      <c r="J478" s="44"/>
      <c r="K478" s="65"/>
      <c r="L478" s="175" t="s">
        <v>363</v>
      </c>
      <c r="M478" s="44"/>
      <c r="N478" s="65"/>
      <c r="Q478" s="211" t="s">
        <v>243</v>
      </c>
      <c r="R478" s="85" t="s">
        <v>10</v>
      </c>
      <c r="S478" s="176">
        <f>_xlfn.AGGREGATE(9,6, F478:G478)</f>
        <v>0.11634375000000002</v>
      </c>
      <c r="T478" s="85"/>
      <c r="U478" s="85"/>
      <c r="V478" s="186" t="s">
        <v>210</v>
      </c>
      <c r="W478" s="85" t="s">
        <v>2</v>
      </c>
      <c r="X478" s="85"/>
      <c r="Y478" s="186">
        <f>INDEX($E$22:$N$24,MATCH(R473,$E$22:$E$24, 0),7)</f>
        <v>3</v>
      </c>
      <c r="Z478" s="139"/>
      <c r="AA478" s="302"/>
      <c r="AC478" s="483"/>
      <c r="AD478" s="233" t="s">
        <v>81</v>
      </c>
      <c r="AE478" s="570">
        <f>(365-AE470*AE471/24)*AE477</f>
        <v>299.3</v>
      </c>
      <c r="AG478" s="66" t="s">
        <v>102</v>
      </c>
      <c r="AH478" s="305">
        <f>INDEX(Normtal!$Q$3:$AC$551,MATCH(AH476,Normtal!$AA$3:$AA$551, 0),6)*AE475/365</f>
        <v>5.5845000000000006E-2</v>
      </c>
      <c r="AI478" s="283"/>
      <c r="AJ478" s="286"/>
      <c r="AK478" s="44"/>
      <c r="AL478" s="44"/>
      <c r="AM478" s="65"/>
      <c r="AN478" s="175" t="s">
        <v>363</v>
      </c>
      <c r="AO478" s="44"/>
      <c r="AP478" s="65"/>
      <c r="AS478" s="211" t="s">
        <v>243</v>
      </c>
      <c r="AT478" s="85" t="s">
        <v>10</v>
      </c>
      <c r="AU478" s="176">
        <f>_xlfn.AGGREGATE(9,6, AH478:AI478)</f>
        <v>5.5845000000000006E-2</v>
      </c>
      <c r="AV478" s="85"/>
      <c r="AW478" s="85"/>
      <c r="AX478" s="186" t="s">
        <v>210</v>
      </c>
      <c r="AY478" s="85" t="s">
        <v>2</v>
      </c>
      <c r="AZ478" s="85"/>
      <c r="BA478" s="186">
        <f>INDEX($E$22:$N$24,MATCH(AT473,$E$22:$E$24, 0),7)</f>
        <v>3</v>
      </c>
      <c r="BB478" s="139"/>
      <c r="BC478" s="483"/>
    </row>
    <row r="479" spans="1:55" x14ac:dyDescent="0.25">
      <c r="A479" s="302"/>
      <c r="C479" s="195"/>
      <c r="E479" s="66" t="s">
        <v>235</v>
      </c>
      <c r="F479" s="307">
        <f>INDEX(Normtal!$Q$3:$AC$551,MATCH(F476,Normtal!$AA$3:$AA$551, 0),4)*C475/365</f>
        <v>3.4572994327390596</v>
      </c>
      <c r="G479" s="247"/>
      <c r="H479" s="285">
        <f>H475*C474</f>
        <v>3.4572994327390596</v>
      </c>
      <c r="I479" s="44"/>
      <c r="J479" s="44"/>
      <c r="K479" s="251"/>
      <c r="L479" s="44" t="s">
        <v>362</v>
      </c>
      <c r="M479" s="44">
        <f>$J$26</f>
        <v>0.5</v>
      </c>
      <c r="N479" s="65"/>
      <c r="Q479" s="211" t="s">
        <v>365</v>
      </c>
      <c r="R479" s="85" t="s">
        <v>10</v>
      </c>
      <c r="S479" s="176">
        <f>-_xlfn.AGGREGATE(9,6,G495:G496)</f>
        <v>-1.0648910149918964E-2</v>
      </c>
      <c r="T479" s="85"/>
      <c r="U479" s="85"/>
      <c r="V479" s="186" t="s">
        <v>210</v>
      </c>
      <c r="W479" s="86" t="s">
        <v>363</v>
      </c>
      <c r="X479" s="85"/>
      <c r="Y479" s="186"/>
      <c r="Z479" s="139"/>
      <c r="AA479" s="302"/>
      <c r="AC479" s="483"/>
      <c r="AE479" s="195"/>
      <c r="AG479" s="66" t="s">
        <v>235</v>
      </c>
      <c r="AH479" s="307">
        <f>INDEX(Normtal!$Q$3:$AC$551,MATCH(AH476,Normtal!$AA$3:$AA$551, 0),4)*AE475/365</f>
        <v>3.2297322175280896</v>
      </c>
      <c r="AI479" s="247"/>
      <c r="AJ479" s="285">
        <f>AJ475*AE474</f>
        <v>3.2297322175280896</v>
      </c>
      <c r="AK479" s="44"/>
      <c r="AL479" s="44"/>
      <c r="AM479" s="251"/>
      <c r="AN479" s="44" t="s">
        <v>362</v>
      </c>
      <c r="AO479" s="44">
        <f>$J$26</f>
        <v>0.5</v>
      </c>
      <c r="AP479" s="65"/>
      <c r="AS479" s="211" t="s">
        <v>365</v>
      </c>
      <c r="AT479" s="85" t="s">
        <v>10</v>
      </c>
      <c r="AU479" s="176">
        <f>-_xlfn.AGGREGATE(9,6,AI495:AI496)</f>
        <v>-9.9343466615730326E-3</v>
      </c>
      <c r="AV479" s="85"/>
      <c r="AW479" s="85"/>
      <c r="AX479" s="186" t="s">
        <v>210</v>
      </c>
      <c r="AY479" s="86" t="s">
        <v>363</v>
      </c>
      <c r="AZ479" s="85"/>
      <c r="BA479" s="186"/>
      <c r="BB479" s="139"/>
      <c r="BC479" s="483"/>
    </row>
    <row r="480" spans="1:55" ht="30" x14ac:dyDescent="0.25">
      <c r="A480" s="302"/>
      <c r="B480" s="257" t="s">
        <v>245</v>
      </c>
      <c r="C480" s="572">
        <f>'CH4_Gylle_Stald&amp;Lager'!X343</f>
        <v>0</v>
      </c>
      <c r="E480" s="66"/>
      <c r="F480" s="290"/>
      <c r="G480" s="290"/>
      <c r="H480" s="292"/>
      <c r="I480" s="44"/>
      <c r="J480" s="44"/>
      <c r="K480" s="251" t="s">
        <v>203</v>
      </c>
      <c r="L480" s="44" t="s">
        <v>171</v>
      </c>
      <c r="M480" s="44">
        <f>$J$27</f>
        <v>-0.5</v>
      </c>
      <c r="N480" s="65"/>
      <c r="Q480" s="211" t="s">
        <v>367</v>
      </c>
      <c r="R480" s="85" t="s">
        <v>10</v>
      </c>
      <c r="S480" s="176">
        <f>-_xlfn.AGGREGATE(9,6,G497,G498)</f>
        <v>-0.46673542341977303</v>
      </c>
      <c r="T480" s="85"/>
      <c r="U480" s="85"/>
      <c r="V480" s="186"/>
      <c r="W480" s="99" t="s">
        <v>171</v>
      </c>
      <c r="X480" s="85">
        <f>$J$27</f>
        <v>-0.5</v>
      </c>
      <c r="Y480" s="186"/>
      <c r="Z480" s="139"/>
      <c r="AA480" s="302"/>
      <c r="AC480" s="483"/>
      <c r="AD480" s="257" t="s">
        <v>245</v>
      </c>
      <c r="AE480" s="572">
        <f>'CH4_Gylle_Stald&amp;Lager'!AJ343</f>
        <v>0</v>
      </c>
      <c r="AG480" s="66"/>
      <c r="AH480" s="290"/>
      <c r="AI480" s="290"/>
      <c r="AJ480" s="292"/>
      <c r="AK480" s="44"/>
      <c r="AL480" s="44"/>
      <c r="AM480" s="251" t="s">
        <v>203</v>
      </c>
      <c r="AN480" s="44" t="s">
        <v>171</v>
      </c>
      <c r="AO480" s="44">
        <f>$J$27</f>
        <v>-0.5</v>
      </c>
      <c r="AP480" s="65"/>
      <c r="AS480" s="211" t="s">
        <v>367</v>
      </c>
      <c r="AT480" s="85" t="s">
        <v>10</v>
      </c>
      <c r="AU480" s="176">
        <f>-_xlfn.AGGREGATE(9,6,AI497,AI498)</f>
        <v>-0.43601384936629212</v>
      </c>
      <c r="AV480" s="85"/>
      <c r="AW480" s="85"/>
      <c r="AX480" s="186"/>
      <c r="AY480" s="99" t="s">
        <v>171</v>
      </c>
      <c r="AZ480" s="85">
        <f>$J$27</f>
        <v>-0.5</v>
      </c>
      <c r="BA480" s="186"/>
      <c r="BB480" s="139"/>
      <c r="BC480" s="483"/>
    </row>
    <row r="481" spans="1:55" x14ac:dyDescent="0.25">
      <c r="A481" s="302"/>
      <c r="E481" s="66"/>
      <c r="F481" s="677" t="s">
        <v>284</v>
      </c>
      <c r="G481" s="677" t="s">
        <v>286</v>
      </c>
      <c r="H481" s="284"/>
      <c r="I481" s="44" t="s">
        <v>203</v>
      </c>
      <c r="J481" s="44"/>
      <c r="K481" s="65"/>
      <c r="L481" s="293" t="s">
        <v>238</v>
      </c>
      <c r="M481" s="44"/>
      <c r="N481" s="65"/>
      <c r="Q481" s="455"/>
      <c r="R481" s="84"/>
      <c r="S481" s="94"/>
      <c r="T481" s="85"/>
      <c r="U481" s="85"/>
      <c r="V481" s="186" t="s">
        <v>210</v>
      </c>
      <c r="W481" s="85" t="s">
        <v>177</v>
      </c>
      <c r="X481" s="85">
        <f>$J$26</f>
        <v>0.5</v>
      </c>
      <c r="Y481" s="186"/>
      <c r="Z481" s="139"/>
      <c r="AA481" s="302"/>
      <c r="AC481" s="483"/>
      <c r="AG481" s="66"/>
      <c r="AH481" s="677" t="s">
        <v>613</v>
      </c>
      <c r="AI481" s="677" t="s">
        <v>614</v>
      </c>
      <c r="AJ481" s="284"/>
      <c r="AK481" s="44" t="s">
        <v>203</v>
      </c>
      <c r="AL481" s="44"/>
      <c r="AM481" s="65"/>
      <c r="AN481" s="293" t="s">
        <v>238</v>
      </c>
      <c r="AO481" s="44"/>
      <c r="AP481" s="65"/>
      <c r="AS481" s="455"/>
      <c r="AT481" s="84"/>
      <c r="AU481" s="94"/>
      <c r="AV481" s="85"/>
      <c r="AW481" s="85"/>
      <c r="AX481" s="186" t="s">
        <v>210</v>
      </c>
      <c r="AY481" s="85" t="s">
        <v>177</v>
      </c>
      <c r="AZ481" s="85">
        <f>$J$26</f>
        <v>0.5</v>
      </c>
      <c r="BA481" s="186"/>
      <c r="BB481" s="139"/>
      <c r="BC481" s="483"/>
    </row>
    <row r="482" spans="1:55" x14ac:dyDescent="0.25">
      <c r="A482" s="302"/>
      <c r="B482" s="77" t="s">
        <v>226</v>
      </c>
      <c r="C482" s="236">
        <f>C470*C471/24+C475+C478</f>
        <v>365</v>
      </c>
      <c r="E482" s="66" t="s">
        <v>233</v>
      </c>
      <c r="F482" s="305">
        <f>F475*C477*0.4</f>
        <v>6.2497335899513775</v>
      </c>
      <c r="G482" s="247">
        <f>F475*C477*0.6</f>
        <v>9.3746003849270654</v>
      </c>
      <c r="H482" s="286"/>
      <c r="I482" s="246" t="str">
        <f>INDEX($E$4:$N$19,MATCH(F471,$E$4:$E$19, 0),2)</f>
        <v>60 % dybstrøelsessystem - 40 % gyllesystem</v>
      </c>
      <c r="J482" s="246"/>
      <c r="K482" s="65"/>
      <c r="L482" s="85" t="s">
        <v>172</v>
      </c>
      <c r="M482" s="85">
        <f>INDEX($E$4:$N$19,MATCH(F469,$E$4:$E$19, 0),3)</f>
        <v>0.4</v>
      </c>
      <c r="N482" s="186"/>
      <c r="Q482" s="211" t="s">
        <v>372</v>
      </c>
      <c r="R482" s="44"/>
      <c r="S482" s="113">
        <f>_xlfn.AGGREGATE(9,6,F482:G482)</f>
        <v>15.624333974878443</v>
      </c>
      <c r="T482" s="44"/>
      <c r="U482" s="44"/>
      <c r="V482" s="65"/>
      <c r="W482" s="44"/>
      <c r="X482" s="44"/>
      <c r="Y482" s="65"/>
      <c r="Z482" s="139"/>
      <c r="AA482" s="302"/>
      <c r="AC482" s="483"/>
      <c r="AD482" s="77" t="s">
        <v>226</v>
      </c>
      <c r="AE482" s="236">
        <f>AE470*AE471/24+AE475+AE478</f>
        <v>365</v>
      </c>
      <c r="AG482" s="66" t="s">
        <v>233</v>
      </c>
      <c r="AH482" s="305">
        <f>AH475*AE477*0.4</f>
        <v>8.9495316249887651</v>
      </c>
      <c r="AI482" s="247">
        <f>AH475*AE477*0.6</f>
        <v>13.424297437483148</v>
      </c>
      <c r="AJ482" s="286"/>
      <c r="AK482" s="246" t="str">
        <f>INDEX($E$4:$N$19,MATCH(AH471,$E$4:$E$19, 0),2)</f>
        <v>60 % dybstrøelsessystem - 40 % gyllesystem</v>
      </c>
      <c r="AL482" s="246"/>
      <c r="AM482" s="65"/>
      <c r="AN482" s="85" t="s">
        <v>172</v>
      </c>
      <c r="AO482" s="85">
        <f>INDEX($E$4:$N$19,MATCH(AH469,$E$4:$E$19, 0),3)</f>
        <v>0.4</v>
      </c>
      <c r="AP482" s="186"/>
      <c r="AS482" s="211" t="s">
        <v>372</v>
      </c>
      <c r="AT482" s="44"/>
      <c r="AU482" s="113">
        <f>_xlfn.AGGREGATE(9,6,AH482:AI482)</f>
        <v>22.373829062471913</v>
      </c>
      <c r="AV482" s="44"/>
      <c r="AW482" s="44"/>
      <c r="AX482" s="65"/>
      <c r="AY482" s="44"/>
      <c r="AZ482" s="44"/>
      <c r="BA482" s="65"/>
      <c r="BB482" s="139"/>
      <c r="BC482" s="483"/>
    </row>
    <row r="483" spans="1:55" x14ac:dyDescent="0.25">
      <c r="A483" s="302"/>
      <c r="B483" s="720"/>
      <c r="C483" s="245"/>
      <c r="E483" s="117" t="s">
        <v>102</v>
      </c>
      <c r="F483" s="305">
        <f>INDEX(Normtal!$Q$3:$AC$551,MATCH(F481,Normtal!$AA$3:$AA$551, 0),6)*C478/365</f>
        <v>0</v>
      </c>
      <c r="G483" s="305">
        <f>INDEX(Normtal!$Q$3:$AC$551,MATCH(G481,Normtal!$AA$3:$AA$551, 0),6)*C478/365</f>
        <v>3.6066562499999995</v>
      </c>
      <c r="H483" s="286"/>
      <c r="I483" s="44"/>
      <c r="J483" s="44"/>
      <c r="K483" s="251" t="s">
        <v>203</v>
      </c>
      <c r="L483" s="85"/>
      <c r="M483" s="85"/>
      <c r="N483" s="186"/>
      <c r="Q483" s="211" t="s">
        <v>244</v>
      </c>
      <c r="R483" s="85" t="s">
        <v>10</v>
      </c>
      <c r="S483" s="113">
        <f>_xlfn.AGGREGATE(9,6,F483:G483)</f>
        <v>3.6066562499999995</v>
      </c>
      <c r="T483" s="44"/>
      <c r="U483" s="44"/>
      <c r="V483" s="65"/>
      <c r="W483" s="85" t="s">
        <v>159</v>
      </c>
      <c r="X483" s="85">
        <f>$U$20</f>
        <v>0.01</v>
      </c>
      <c r="Y483" s="186"/>
      <c r="Z483" s="139"/>
      <c r="AA483" s="302"/>
      <c r="AC483" s="483"/>
      <c r="AD483" s="720"/>
      <c r="AE483" s="245"/>
      <c r="AG483" s="117" t="s">
        <v>102</v>
      </c>
      <c r="AH483" s="305">
        <f>INDEX(Normtal!$Q$3:$AC$551,MATCH(AH481,Normtal!$AA$3:$AA$551, 0),6)*AE478/365</f>
        <v>0</v>
      </c>
      <c r="AI483" s="305">
        <f>INDEX(Normtal!$Q$3:$AC$551,MATCH(AI481,Normtal!$AA$3:$AA$551, 0),6)*AE478/365</f>
        <v>2.9256575000000002</v>
      </c>
      <c r="AJ483" s="286"/>
      <c r="AK483" s="44"/>
      <c r="AL483" s="44"/>
      <c r="AM483" s="251" t="s">
        <v>203</v>
      </c>
      <c r="AN483" s="85"/>
      <c r="AO483" s="85"/>
      <c r="AP483" s="186"/>
      <c r="AS483" s="211" t="s">
        <v>244</v>
      </c>
      <c r="AT483" s="85" t="s">
        <v>10</v>
      </c>
      <c r="AU483" s="113">
        <f>_xlfn.AGGREGATE(9,6,AH483:AI483)</f>
        <v>2.9256575000000002</v>
      </c>
      <c r="AV483" s="44"/>
      <c r="AW483" s="44"/>
      <c r="AX483" s="65"/>
      <c r="AY483" s="85" t="s">
        <v>159</v>
      </c>
      <c r="AZ483" s="85">
        <f>$U$20</f>
        <v>0.01</v>
      </c>
      <c r="BA483" s="186"/>
      <c r="BB483" s="139"/>
      <c r="BC483" s="483"/>
    </row>
    <row r="484" spans="1:55" x14ac:dyDescent="0.25">
      <c r="A484" s="302"/>
      <c r="B484" s="720"/>
      <c r="C484" s="245"/>
      <c r="E484" s="66" t="s">
        <v>234</v>
      </c>
      <c r="F484" s="307">
        <f>INDEX(Normtal!$Q$3:$AC$551,MATCH(F481,Normtal!$AA$3:$AA$551, 0),4)*C478/365</f>
        <v>4.1487593192868717</v>
      </c>
      <c r="G484" s="283"/>
      <c r="H484" s="285">
        <f>H475*C477*0.4</f>
        <v>4.1487593192868717</v>
      </c>
      <c r="I484" s="44"/>
      <c r="J484" s="44"/>
      <c r="K484" s="65"/>
      <c r="L484" s="85" t="s">
        <v>195</v>
      </c>
      <c r="M484" s="85"/>
      <c r="N484" s="201">
        <f>INDEX($E$4:$N$19,MATCH(F469,$E$4:$E$19, 0),7)</f>
        <v>0.21</v>
      </c>
      <c r="Q484" s="211" t="s">
        <v>368</v>
      </c>
      <c r="R484" s="85" t="s">
        <v>10</v>
      </c>
      <c r="S484" s="300">
        <f>-_xlfn.AGGREGATE(9,6,G500:G501)</f>
        <v>-0.13329539290417342</v>
      </c>
      <c r="T484" s="44"/>
      <c r="U484" s="44"/>
      <c r="V484" s="65"/>
      <c r="W484" s="44"/>
      <c r="X484" s="44"/>
      <c r="Y484" s="186"/>
      <c r="Z484" s="139"/>
      <c r="AA484" s="302"/>
      <c r="AC484" s="483"/>
      <c r="AD484" s="720"/>
      <c r="AE484" s="245"/>
      <c r="AG484" s="66" t="s">
        <v>234</v>
      </c>
      <c r="AH484" s="307">
        <f>INDEX(Normtal!$Q$3:$AC$551,MATCH(AH481,Normtal!$AA$3:$AA$551, 0),4)*AE478/365</f>
        <v>5.8852898186067408</v>
      </c>
      <c r="AI484" s="283"/>
      <c r="AJ484" s="285">
        <f>AJ475*AE477*0.4</f>
        <v>5.8852898186067426</v>
      </c>
      <c r="AK484" s="44"/>
      <c r="AL484" s="44"/>
      <c r="AM484" s="65"/>
      <c r="AN484" s="85" t="s">
        <v>195</v>
      </c>
      <c r="AO484" s="85"/>
      <c r="AP484" s="201">
        <f>INDEX($E$4:$N$19,MATCH(AH469,$E$4:$E$19, 0),7)</f>
        <v>0.21</v>
      </c>
      <c r="AS484" s="211" t="s">
        <v>368</v>
      </c>
      <c r="AT484" s="85" t="s">
        <v>10</v>
      </c>
      <c r="AU484" s="300">
        <f>-_xlfn.AGGREGATE(9,6,AI500:AI501)</f>
        <v>-0.176132429124809</v>
      </c>
      <c r="AV484" s="44"/>
      <c r="AW484" s="44"/>
      <c r="AX484" s="65"/>
      <c r="AY484" s="44"/>
      <c r="AZ484" s="44"/>
      <c r="BA484" s="186"/>
      <c r="BB484" s="139"/>
      <c r="BC484" s="483"/>
    </row>
    <row r="485" spans="1:55" x14ac:dyDescent="0.25">
      <c r="A485" s="302"/>
      <c r="E485" s="66"/>
      <c r="F485" s="290"/>
      <c r="G485" s="290"/>
      <c r="H485" s="292"/>
      <c r="I485" s="44"/>
      <c r="J485" s="44"/>
      <c r="K485" s="251" t="s">
        <v>203</v>
      </c>
      <c r="L485" s="85"/>
      <c r="M485" s="85"/>
      <c r="N485" s="186"/>
      <c r="Q485" s="211" t="s">
        <v>366</v>
      </c>
      <c r="R485" s="85" t="s">
        <v>10</v>
      </c>
      <c r="S485" s="300">
        <f>-_xlfn.AGGREGATE(9,6,G502:G503)</f>
        <v>-1.1225585311993516</v>
      </c>
      <c r="T485" s="44"/>
      <c r="U485" s="44"/>
      <c r="V485" s="65"/>
      <c r="Y485" s="65"/>
      <c r="Z485" s="139"/>
      <c r="AA485" s="302"/>
      <c r="AC485" s="483"/>
      <c r="AG485" s="66"/>
      <c r="AH485" s="290"/>
      <c r="AI485" s="290"/>
      <c r="AJ485" s="292"/>
      <c r="AK485" s="44"/>
      <c r="AL485" s="44"/>
      <c r="AM485" s="251" t="s">
        <v>203</v>
      </c>
      <c r="AN485" s="85"/>
      <c r="AO485" s="85"/>
      <c r="AP485" s="186"/>
      <c r="AS485" s="211" t="s">
        <v>366</v>
      </c>
      <c r="AT485" s="85" t="s">
        <v>10</v>
      </c>
      <c r="AU485" s="300">
        <f>-_xlfn.AGGREGATE(9,6,AI502:AI503)</f>
        <v>-1.5999719717608989</v>
      </c>
      <c r="AV485" s="44"/>
      <c r="AW485" s="44"/>
      <c r="AX485" s="65"/>
      <c r="BA485" s="65"/>
      <c r="BB485" s="139"/>
      <c r="BC485" s="483"/>
    </row>
    <row r="486" spans="1:55" x14ac:dyDescent="0.25">
      <c r="A486" s="302"/>
      <c r="E486" s="96" t="s">
        <v>134</v>
      </c>
      <c r="F486" s="176">
        <f>_xlfn.AGGREGATE(9,6,F479,F484)</f>
        <v>7.6060587520259313</v>
      </c>
      <c r="G486" s="288"/>
      <c r="H486" s="266">
        <f>_xlfn.AGGREGATE(9,6,H479,H484)</f>
        <v>7.6060587520259313</v>
      </c>
      <c r="I486" s="44"/>
      <c r="J486" s="44"/>
      <c r="K486" s="65"/>
      <c r="L486" s="85"/>
      <c r="M486" s="85"/>
      <c r="N486" s="186"/>
      <c r="Q486" s="66"/>
      <c r="R486" s="44"/>
      <c r="S486" s="44"/>
      <c r="T486" s="301"/>
      <c r="U486" s="44"/>
      <c r="V486" s="65"/>
      <c r="W486" s="24"/>
      <c r="X486" s="24"/>
      <c r="Y486" s="120"/>
      <c r="Z486" s="48"/>
      <c r="AA486" s="302"/>
      <c r="AC486" s="483"/>
      <c r="AG486" s="96" t="s">
        <v>134</v>
      </c>
      <c r="AH486" s="176">
        <f>_xlfn.AGGREGATE(9,6,AH479,AH484)</f>
        <v>9.11502203613483</v>
      </c>
      <c r="AI486" s="288"/>
      <c r="AJ486" s="266">
        <f>_xlfn.AGGREGATE(9,6,AJ479,AJ484)</f>
        <v>9.1150220361348318</v>
      </c>
      <c r="AK486" s="44"/>
      <c r="AL486" s="44"/>
      <c r="AM486" s="65"/>
      <c r="AN486" s="85"/>
      <c r="AO486" s="85"/>
      <c r="AP486" s="186"/>
      <c r="AS486" s="66"/>
      <c r="AT486" s="44"/>
      <c r="AU486" s="44"/>
      <c r="AV486" s="301"/>
      <c r="AW486" s="44"/>
      <c r="AX486" s="65"/>
      <c r="AY486" s="24"/>
      <c r="AZ486" s="24"/>
      <c r="BA486" s="120"/>
      <c r="BB486" s="48"/>
      <c r="BC486" s="483"/>
    </row>
    <row r="487" spans="1:55" x14ac:dyDescent="0.25">
      <c r="A487" s="302"/>
      <c r="E487" s="66"/>
      <c r="F487" s="44"/>
      <c r="G487" s="44"/>
      <c r="H487" s="44"/>
      <c r="I487" s="44"/>
      <c r="J487" s="44"/>
      <c r="K487" s="65"/>
      <c r="L487" s="85"/>
      <c r="M487" s="85"/>
      <c r="N487" s="186"/>
      <c r="Q487" s="96" t="s">
        <v>369</v>
      </c>
      <c r="R487" s="85" t="s">
        <v>10</v>
      </c>
      <c r="S487" s="198">
        <f>SUM(S477:S480)</f>
        <v>4.84707074138979</v>
      </c>
      <c r="W487" s="44"/>
      <c r="X487" s="44"/>
      <c r="Y487" s="44"/>
      <c r="Z487" s="48"/>
      <c r="AA487" s="302"/>
      <c r="AC487" s="483"/>
      <c r="AG487" s="66"/>
      <c r="AH487" s="44"/>
      <c r="AI487" s="44"/>
      <c r="AJ487" s="44"/>
      <c r="AK487" s="44"/>
      <c r="AL487" s="44"/>
      <c r="AM487" s="65"/>
      <c r="AN487" s="85"/>
      <c r="AO487" s="85"/>
      <c r="AP487" s="186"/>
      <c r="AS487" s="96" t="s">
        <v>369</v>
      </c>
      <c r="AT487" s="85" t="s">
        <v>10</v>
      </c>
      <c r="AU487" s="198">
        <f>SUM(AU477:AU480)</f>
        <v>4.5212251347586516</v>
      </c>
      <c r="AY487" s="44"/>
      <c r="AZ487" s="44"/>
      <c r="BA487" s="44"/>
      <c r="BB487" s="48"/>
      <c r="BC487" s="483"/>
    </row>
    <row r="488" spans="1:55" x14ac:dyDescent="0.25">
      <c r="A488" s="302"/>
      <c r="E488" s="96" t="s">
        <v>84</v>
      </c>
      <c r="F488" s="85"/>
      <c r="G488" s="85"/>
      <c r="H488" s="44"/>
      <c r="I488" s="85"/>
      <c r="J488" s="44"/>
      <c r="K488" s="251" t="s">
        <v>203</v>
      </c>
      <c r="L488" s="85" t="str">
        <f>$T$20</f>
        <v>EF4</v>
      </c>
      <c r="M488" s="85">
        <f>$U$20</f>
        <v>0.01</v>
      </c>
      <c r="N488" s="186"/>
      <c r="Q488" s="310" t="s">
        <v>563</v>
      </c>
      <c r="R488" s="84" t="s">
        <v>10</v>
      </c>
      <c r="S488" s="457">
        <f>F479-G497</f>
        <v>2.9905640093192867</v>
      </c>
      <c r="U488" s="44"/>
      <c r="V488" s="65"/>
      <c r="W488" s="44"/>
      <c r="X488" s="44"/>
      <c r="Y488" s="44"/>
      <c r="Z488" s="48"/>
      <c r="AA488" s="302"/>
      <c r="AC488" s="483"/>
      <c r="AG488" s="96" t="s">
        <v>84</v>
      </c>
      <c r="AH488" s="85"/>
      <c r="AI488" s="85"/>
      <c r="AJ488" s="44"/>
      <c r="AK488" s="85"/>
      <c r="AL488" s="44"/>
      <c r="AM488" s="251" t="s">
        <v>203</v>
      </c>
      <c r="AN488" s="85" t="str">
        <f>$T$20</f>
        <v>EF4</v>
      </c>
      <c r="AO488" s="85">
        <f>$U$20</f>
        <v>0.01</v>
      </c>
      <c r="AP488" s="186"/>
      <c r="AS488" s="310" t="s">
        <v>563</v>
      </c>
      <c r="AT488" s="84" t="s">
        <v>10</v>
      </c>
      <c r="AU488" s="457">
        <f>AH479-AI497</f>
        <v>2.7937183681617976</v>
      </c>
      <c r="AW488" s="44"/>
      <c r="AX488" s="65"/>
      <c r="AY488" s="44"/>
      <c r="AZ488" s="44"/>
      <c r="BA488" s="44"/>
      <c r="BB488" s="48"/>
      <c r="BC488" s="483"/>
    </row>
    <row r="489" spans="1:55" x14ac:dyDescent="0.25">
      <c r="A489" s="302"/>
      <c r="E489" s="96" t="s">
        <v>105</v>
      </c>
      <c r="F489" s="85" t="s">
        <v>10</v>
      </c>
      <c r="G489" s="176">
        <f>(F474)*M482/100</f>
        <v>0</v>
      </c>
      <c r="H489" s="44"/>
      <c r="I489" s="85" t="s">
        <v>85</v>
      </c>
      <c r="J489" s="114" t="s">
        <v>86</v>
      </c>
      <c r="K489" s="252" t="s">
        <v>203</v>
      </c>
      <c r="L489" s="85" t="str">
        <f>$T$21</f>
        <v>[leaching/ runoff]</v>
      </c>
      <c r="M489" s="85">
        <f>$U$21</f>
        <v>0</v>
      </c>
      <c r="N489" s="186"/>
      <c r="Q489" s="96" t="s">
        <v>370</v>
      </c>
      <c r="R489" s="85" t="s">
        <v>10</v>
      </c>
      <c r="S489" s="198">
        <f>SUM(S482:S485)</f>
        <v>17.975136300774917</v>
      </c>
      <c r="W489" s="44"/>
      <c r="X489" s="44"/>
      <c r="Y489" s="44"/>
      <c r="Z489" s="48"/>
      <c r="AA489" s="302"/>
      <c r="AC489" s="483"/>
      <c r="AG489" s="96" t="s">
        <v>105</v>
      </c>
      <c r="AH489" s="85" t="s">
        <v>10</v>
      </c>
      <c r="AI489" s="176">
        <f>(AH474)*AO482/100</f>
        <v>0</v>
      </c>
      <c r="AJ489" s="44"/>
      <c r="AK489" s="85" t="s">
        <v>85</v>
      </c>
      <c r="AL489" s="114" t="s">
        <v>86</v>
      </c>
      <c r="AM489" s="252" t="s">
        <v>203</v>
      </c>
      <c r="AN489" s="85" t="str">
        <f>$T$21</f>
        <v>[leaching/ runoff]</v>
      </c>
      <c r="AO489" s="85">
        <f>$U$21</f>
        <v>0</v>
      </c>
      <c r="AP489" s="186"/>
      <c r="AS489" s="96" t="s">
        <v>370</v>
      </c>
      <c r="AT489" s="85" t="s">
        <v>10</v>
      </c>
      <c r="AU489" s="198">
        <f>SUM(AU482:AU485)</f>
        <v>23.523382161586206</v>
      </c>
      <c r="AY489" s="44"/>
      <c r="AZ489" s="44"/>
      <c r="BA489" s="44"/>
      <c r="BB489" s="48"/>
      <c r="BC489" s="483"/>
    </row>
    <row r="490" spans="1:55" x14ac:dyDescent="0.25">
      <c r="A490" s="302"/>
      <c r="E490" s="96" t="s">
        <v>106</v>
      </c>
      <c r="F490" s="85" t="s">
        <v>10</v>
      </c>
      <c r="G490" s="198">
        <f>(F474)*N484/100</f>
        <v>0</v>
      </c>
      <c r="H490" s="44"/>
      <c r="I490" s="85" t="s">
        <v>87</v>
      </c>
      <c r="J490" s="114" t="s">
        <v>88</v>
      </c>
      <c r="K490" s="252" t="s">
        <v>203</v>
      </c>
      <c r="L490" s="85" t="str">
        <f>$T$22</f>
        <v>EF5</v>
      </c>
      <c r="M490" s="85">
        <f>$U$22</f>
        <v>1.0999999999999999E-2</v>
      </c>
      <c r="N490" s="186"/>
      <c r="T490" s="44"/>
      <c r="U490" s="44"/>
      <c r="V490" s="65"/>
      <c r="W490" s="85"/>
      <c r="X490" s="85"/>
      <c r="Y490" s="85"/>
      <c r="Z490" s="48"/>
      <c r="AA490" s="302"/>
      <c r="AC490" s="483"/>
      <c r="AG490" s="96" t="s">
        <v>106</v>
      </c>
      <c r="AH490" s="85" t="s">
        <v>10</v>
      </c>
      <c r="AI490" s="198">
        <f>(AH474)*AP484/100</f>
        <v>0</v>
      </c>
      <c r="AJ490" s="44"/>
      <c r="AK490" s="85" t="s">
        <v>87</v>
      </c>
      <c r="AL490" s="114" t="s">
        <v>88</v>
      </c>
      <c r="AM490" s="252" t="s">
        <v>203</v>
      </c>
      <c r="AN490" s="85" t="str">
        <f>$T$22</f>
        <v>EF5</v>
      </c>
      <c r="AO490" s="85">
        <f>$U$22</f>
        <v>1.0999999999999999E-2</v>
      </c>
      <c r="AP490" s="186"/>
      <c r="AV490" s="44"/>
      <c r="AW490" s="44"/>
      <c r="AX490" s="65"/>
      <c r="AY490" s="85"/>
      <c r="AZ490" s="85"/>
      <c r="BA490" s="85"/>
      <c r="BB490" s="48"/>
      <c r="BC490" s="483"/>
    </row>
    <row r="491" spans="1:55" x14ac:dyDescent="0.25">
      <c r="A491" s="302"/>
      <c r="E491" s="96" t="s">
        <v>200</v>
      </c>
      <c r="F491" s="85" t="s">
        <v>10</v>
      </c>
      <c r="G491" s="198">
        <f>F474*M491/100</f>
        <v>0</v>
      </c>
      <c r="H491" s="44"/>
      <c r="I491" s="85" t="s">
        <v>201</v>
      </c>
      <c r="J491" s="44"/>
      <c r="K491" s="251" t="s">
        <v>203</v>
      </c>
      <c r="L491" s="85" t="str">
        <f>$T$23</f>
        <v>FracLEACH</v>
      </c>
      <c r="M491" s="85">
        <f>$U$23</f>
        <v>0.24</v>
      </c>
      <c r="N491" s="186"/>
      <c r="Q491" s="96" t="s">
        <v>136</v>
      </c>
      <c r="R491" s="85"/>
      <c r="S491" s="85"/>
      <c r="T491" s="85"/>
      <c r="U491" s="85"/>
      <c r="V491" s="186" t="s">
        <v>210</v>
      </c>
      <c r="W491" s="44"/>
      <c r="X491" s="44"/>
      <c r="Y491" s="44"/>
      <c r="Z491" s="48"/>
      <c r="AA491" s="302"/>
      <c r="AC491" s="483"/>
      <c r="AG491" s="96" t="s">
        <v>200</v>
      </c>
      <c r="AH491" s="85" t="s">
        <v>10</v>
      </c>
      <c r="AI491" s="198">
        <f>AH474*AO491/100</f>
        <v>0</v>
      </c>
      <c r="AJ491" s="44"/>
      <c r="AK491" s="85" t="s">
        <v>201</v>
      </c>
      <c r="AL491" s="44"/>
      <c r="AM491" s="251" t="s">
        <v>203</v>
      </c>
      <c r="AN491" s="85" t="str">
        <f>$T$23</f>
        <v>FracLEACH</v>
      </c>
      <c r="AO491" s="85">
        <f>$U$23</f>
        <v>0.24</v>
      </c>
      <c r="AP491" s="186"/>
      <c r="AS491" s="96" t="s">
        <v>136</v>
      </c>
      <c r="AT491" s="85"/>
      <c r="AU491" s="85"/>
      <c r="AV491" s="85"/>
      <c r="AW491" s="85"/>
      <c r="AX491" s="186" t="s">
        <v>210</v>
      </c>
      <c r="AY491" s="44"/>
      <c r="AZ491" s="44"/>
      <c r="BA491" s="44"/>
      <c r="BB491" s="48"/>
      <c r="BC491" s="483"/>
    </row>
    <row r="492" spans="1:55" x14ac:dyDescent="0.25">
      <c r="A492" s="302"/>
      <c r="E492" s="66"/>
      <c r="F492" s="85"/>
      <c r="G492" s="176"/>
      <c r="H492" s="44"/>
      <c r="I492" s="85"/>
      <c r="J492" s="44"/>
      <c r="K492" s="251" t="s">
        <v>203</v>
      </c>
      <c r="L492" s="24"/>
      <c r="M492" s="24"/>
      <c r="N492" s="196"/>
      <c r="Q492" s="96" t="s">
        <v>375</v>
      </c>
      <c r="R492" s="85" t="s">
        <v>10</v>
      </c>
      <c r="S492" s="176">
        <f>(S487*X471/100)</f>
        <v>2.4235353706948948E-2</v>
      </c>
      <c r="T492" s="212" t="s">
        <v>561</v>
      </c>
      <c r="U492" s="212" t="s">
        <v>379</v>
      </c>
      <c r="V492" s="186" t="s">
        <v>210</v>
      </c>
      <c r="W492" s="44"/>
      <c r="X492" s="44"/>
      <c r="Y492" s="44"/>
      <c r="Z492" s="44"/>
      <c r="AA492" s="302"/>
      <c r="AC492" s="483"/>
      <c r="AG492" s="66"/>
      <c r="AH492" s="85"/>
      <c r="AI492" s="176"/>
      <c r="AJ492" s="44"/>
      <c r="AK492" s="85"/>
      <c r="AL492" s="44"/>
      <c r="AM492" s="251" t="s">
        <v>203</v>
      </c>
      <c r="AN492" s="24"/>
      <c r="AO492" s="24"/>
      <c r="AP492" s="196"/>
      <c r="AS492" s="96" t="s">
        <v>375</v>
      </c>
      <c r="AT492" s="85" t="s">
        <v>10</v>
      </c>
      <c r="AU492" s="176">
        <f>(AU487*AZ471/100)</f>
        <v>2.2606125673793259E-2</v>
      </c>
      <c r="AV492" s="212" t="s">
        <v>561</v>
      </c>
      <c r="AW492" s="212" t="s">
        <v>379</v>
      </c>
      <c r="AX492" s="186" t="s">
        <v>210</v>
      </c>
      <c r="AY492" s="44"/>
      <c r="AZ492" s="44"/>
      <c r="BA492" s="44"/>
      <c r="BB492" s="44"/>
      <c r="BC492" s="483"/>
    </row>
    <row r="493" spans="1:55" x14ac:dyDescent="0.25">
      <c r="A493" s="302"/>
      <c r="E493" s="96" t="s">
        <v>89</v>
      </c>
      <c r="F493" s="85"/>
      <c r="G493" s="176"/>
      <c r="H493" s="44"/>
      <c r="I493" s="85"/>
      <c r="J493" s="44"/>
      <c r="K493" s="251"/>
      <c r="L493" s="85"/>
      <c r="M493" s="85"/>
      <c r="N493" s="85"/>
      <c r="O493" s="44"/>
      <c r="Q493" s="96" t="s">
        <v>373</v>
      </c>
      <c r="R493" s="85" t="s">
        <v>10</v>
      </c>
      <c r="S493" s="176">
        <f>(S489*Y476/100)*0.35</f>
        <v>6.2912977052712205E-2</v>
      </c>
      <c r="T493" s="212" t="s">
        <v>141</v>
      </c>
      <c r="U493" s="212" t="s">
        <v>143</v>
      </c>
      <c r="V493" s="184" t="s">
        <v>210</v>
      </c>
      <c r="W493" s="85"/>
      <c r="X493" s="85"/>
      <c r="Y493" s="85"/>
      <c r="Z493" s="44"/>
      <c r="AA493" s="302"/>
      <c r="AC493" s="483"/>
      <c r="AG493" s="96" t="s">
        <v>89</v>
      </c>
      <c r="AH493" s="85"/>
      <c r="AI493" s="176"/>
      <c r="AJ493" s="44"/>
      <c r="AK493" s="85"/>
      <c r="AL493" s="44"/>
      <c r="AM493" s="251"/>
      <c r="AN493" s="85"/>
      <c r="AO493" s="85"/>
      <c r="AP493" s="85"/>
      <c r="AQ493" s="44"/>
      <c r="AS493" s="96" t="s">
        <v>373</v>
      </c>
      <c r="AT493" s="85" t="s">
        <v>10</v>
      </c>
      <c r="AU493" s="176">
        <f>(AU489*BA476/100)*0.35</f>
        <v>8.2331837565551722E-2</v>
      </c>
      <c r="AV493" s="212" t="s">
        <v>141</v>
      </c>
      <c r="AW493" s="212" t="s">
        <v>143</v>
      </c>
      <c r="AX493" s="184" t="s">
        <v>210</v>
      </c>
      <c r="AY493" s="85"/>
      <c r="AZ493" s="85"/>
      <c r="BA493" s="85"/>
      <c r="BB493" s="44"/>
      <c r="BC493" s="483"/>
    </row>
    <row r="494" spans="1:55" x14ac:dyDescent="0.25">
      <c r="A494" s="302"/>
      <c r="E494" s="97" t="s">
        <v>236</v>
      </c>
      <c r="F494" s="85"/>
      <c r="G494" s="176"/>
      <c r="H494" s="44"/>
      <c r="I494" s="85"/>
      <c r="J494" s="116"/>
      <c r="K494" s="252"/>
      <c r="L494" s="85"/>
      <c r="M494" s="85"/>
      <c r="N494" s="85"/>
      <c r="O494" s="44"/>
      <c r="Q494" s="97" t="s">
        <v>376</v>
      </c>
      <c r="R494" s="84" t="s">
        <v>10</v>
      </c>
      <c r="S494" s="456">
        <f>S488*X472/100</f>
        <v>0.10167917631685575</v>
      </c>
      <c r="T494" s="458" t="s">
        <v>562</v>
      </c>
      <c r="U494" s="212" t="s">
        <v>380</v>
      </c>
      <c r="V494" s="184" t="s">
        <v>210</v>
      </c>
      <c r="W494" s="85"/>
      <c r="X494" s="85"/>
      <c r="Y494" s="85"/>
      <c r="Z494" s="44"/>
      <c r="AA494" s="302"/>
      <c r="AC494" s="483"/>
      <c r="AG494" s="97" t="s">
        <v>236</v>
      </c>
      <c r="AH494" s="85"/>
      <c r="AI494" s="176"/>
      <c r="AJ494" s="44"/>
      <c r="AK494" s="85"/>
      <c r="AL494" s="116"/>
      <c r="AM494" s="252"/>
      <c r="AN494" s="85"/>
      <c r="AO494" s="85"/>
      <c r="AP494" s="85"/>
      <c r="AQ494" s="44"/>
      <c r="AS494" s="97" t="s">
        <v>376</v>
      </c>
      <c r="AT494" s="84" t="s">
        <v>10</v>
      </c>
      <c r="AU494" s="456">
        <f>AU488*AZ472/100</f>
        <v>9.4986424517501111E-2</v>
      </c>
      <c r="AV494" s="458" t="s">
        <v>562</v>
      </c>
      <c r="AW494" s="212" t="s">
        <v>380</v>
      </c>
      <c r="AX494" s="184" t="s">
        <v>210</v>
      </c>
      <c r="AY494" s="85"/>
      <c r="AZ494" s="85"/>
      <c r="BA494" s="85"/>
      <c r="BB494" s="44"/>
      <c r="BC494" s="483"/>
    </row>
    <row r="495" spans="1:55" x14ac:dyDescent="0.25">
      <c r="A495" s="302"/>
      <c r="E495" s="97" t="s">
        <v>107</v>
      </c>
      <c r="F495" s="85" t="s">
        <v>10</v>
      </c>
      <c r="G495" s="282">
        <f>(F477+F478)*M471/100</f>
        <v>1.0648910149918964E-2</v>
      </c>
      <c r="H495" s="44"/>
      <c r="I495" s="85"/>
      <c r="J495" s="116"/>
      <c r="K495" s="252"/>
      <c r="L495" s="85"/>
      <c r="M495" s="85"/>
      <c r="N495" s="85"/>
      <c r="O495" s="44"/>
      <c r="Q495" s="97" t="s">
        <v>544</v>
      </c>
      <c r="R495" s="84" t="s">
        <v>10</v>
      </c>
      <c r="S495" s="432">
        <f>S488*X472/100*(1+X474*C480)</f>
        <v>0.10167917631685575</v>
      </c>
      <c r="T495" s="458" t="s">
        <v>565</v>
      </c>
      <c r="U495" s="212" t="s">
        <v>380</v>
      </c>
      <c r="V495" s="184" t="s">
        <v>210</v>
      </c>
      <c r="W495" s="44"/>
      <c r="X495" s="44"/>
      <c r="Y495" s="44"/>
      <c r="Z495" s="44"/>
      <c r="AA495" s="302"/>
      <c r="AC495" s="483"/>
      <c r="AG495" s="97" t="s">
        <v>107</v>
      </c>
      <c r="AH495" s="85" t="s">
        <v>10</v>
      </c>
      <c r="AI495" s="282">
        <f>(AH477+AH478)*AO471/100</f>
        <v>9.9343466615730326E-3</v>
      </c>
      <c r="AJ495" s="44"/>
      <c r="AK495" s="85"/>
      <c r="AL495" s="116"/>
      <c r="AM495" s="252"/>
      <c r="AN495" s="85"/>
      <c r="AO495" s="85"/>
      <c r="AP495" s="85"/>
      <c r="AQ495" s="44"/>
      <c r="AS495" s="97" t="s">
        <v>544</v>
      </c>
      <c r="AT495" s="84" t="s">
        <v>10</v>
      </c>
      <c r="AU495" s="432">
        <f>AU488*AZ472/100*(1+AZ474*AE480)</f>
        <v>9.4986424517501111E-2</v>
      </c>
      <c r="AV495" s="458" t="s">
        <v>565</v>
      </c>
      <c r="AW495" s="212" t="s">
        <v>380</v>
      </c>
      <c r="AX495" s="184" t="s">
        <v>210</v>
      </c>
      <c r="AY495" s="44"/>
      <c r="AZ495" s="44"/>
      <c r="BA495" s="44"/>
      <c r="BB495" s="44"/>
      <c r="BC495" s="483"/>
    </row>
    <row r="496" spans="1:55" x14ac:dyDescent="0.25">
      <c r="A496" s="302"/>
      <c r="E496" s="97" t="s">
        <v>108</v>
      </c>
      <c r="F496" s="85" t="s">
        <v>10</v>
      </c>
      <c r="G496" s="282">
        <f>(G477+G478)*N471/100</f>
        <v>0</v>
      </c>
      <c r="H496" s="44"/>
      <c r="I496" s="85"/>
      <c r="J496" s="116"/>
      <c r="K496" s="252"/>
      <c r="L496" s="85"/>
      <c r="M496" s="85"/>
      <c r="N496" s="85"/>
      <c r="O496" s="44"/>
      <c r="Q496" s="96" t="s">
        <v>374</v>
      </c>
      <c r="R496" s="85" t="s">
        <v>10</v>
      </c>
      <c r="S496" s="198">
        <f>(S489*Y478/100)*0.35</f>
        <v>0.18873893115813659</v>
      </c>
      <c r="T496" s="212" t="s">
        <v>142</v>
      </c>
      <c r="U496" s="212" t="s">
        <v>144</v>
      </c>
      <c r="V496" s="184" t="s">
        <v>210</v>
      </c>
      <c r="W496" s="44"/>
      <c r="X496" s="44"/>
      <c r="Y496" s="44"/>
      <c r="Z496" s="44"/>
      <c r="AA496" s="302"/>
      <c r="AC496" s="483"/>
      <c r="AG496" s="97" t="s">
        <v>108</v>
      </c>
      <c r="AH496" s="85" t="s">
        <v>10</v>
      </c>
      <c r="AI496" s="282">
        <f>(AI477+AI478)*AP471/100</f>
        <v>0</v>
      </c>
      <c r="AJ496" s="44"/>
      <c r="AK496" s="85"/>
      <c r="AL496" s="116"/>
      <c r="AM496" s="252"/>
      <c r="AN496" s="85"/>
      <c r="AO496" s="85"/>
      <c r="AP496" s="85"/>
      <c r="AQ496" s="44"/>
      <c r="AS496" s="96" t="s">
        <v>374</v>
      </c>
      <c r="AT496" s="85" t="s">
        <v>10</v>
      </c>
      <c r="AU496" s="198">
        <f>(AU489*BA478/100)*0.35</f>
        <v>0.24699551269665515</v>
      </c>
      <c r="AV496" s="212" t="s">
        <v>142</v>
      </c>
      <c r="AW496" s="212" t="s">
        <v>144</v>
      </c>
      <c r="AX496" s="184" t="s">
        <v>210</v>
      </c>
      <c r="AY496" s="44"/>
      <c r="AZ496" s="44"/>
      <c r="BA496" s="44"/>
      <c r="BB496" s="44"/>
      <c r="BC496" s="483"/>
    </row>
    <row r="497" spans="1:55" x14ac:dyDescent="0.25">
      <c r="A497" s="302"/>
      <c r="E497" s="97" t="s">
        <v>109</v>
      </c>
      <c r="F497" s="85" t="s">
        <v>10</v>
      </c>
      <c r="G497" s="197">
        <f>F479*M473/100</f>
        <v>0.46673542341977303</v>
      </c>
      <c r="H497" s="44"/>
      <c r="I497" s="85"/>
      <c r="J497" s="116"/>
      <c r="K497" s="252"/>
      <c r="L497" s="85"/>
      <c r="M497" s="85"/>
      <c r="N497" s="85"/>
      <c r="O497" s="44"/>
      <c r="Q497" s="97" t="s">
        <v>383</v>
      </c>
      <c r="R497" s="85"/>
      <c r="S497" s="85"/>
      <c r="T497" s="85"/>
      <c r="U497" s="85"/>
      <c r="V497" s="186" t="s">
        <v>210</v>
      </c>
      <c r="W497" s="44"/>
      <c r="X497" s="44"/>
      <c r="Y497" s="44"/>
      <c r="Z497" s="44"/>
      <c r="AA497" s="302"/>
      <c r="AC497" s="483"/>
      <c r="AG497" s="97" t="s">
        <v>109</v>
      </c>
      <c r="AH497" s="85" t="s">
        <v>10</v>
      </c>
      <c r="AI497" s="197">
        <f>AH479*AO473/100</f>
        <v>0.43601384936629212</v>
      </c>
      <c r="AJ497" s="44"/>
      <c r="AK497" s="85"/>
      <c r="AL497" s="116"/>
      <c r="AM497" s="252"/>
      <c r="AN497" s="85"/>
      <c r="AO497" s="85"/>
      <c r="AP497" s="85"/>
      <c r="AQ497" s="44"/>
      <c r="AS497" s="97" t="s">
        <v>383</v>
      </c>
      <c r="AT497" s="85"/>
      <c r="AU497" s="85"/>
      <c r="AV497" s="85"/>
      <c r="AW497" s="85"/>
      <c r="AX497" s="186" t="s">
        <v>210</v>
      </c>
      <c r="AY497" s="44"/>
      <c r="AZ497" s="44"/>
      <c r="BA497" s="44"/>
      <c r="BB497" s="44"/>
      <c r="BC497" s="483"/>
    </row>
    <row r="498" spans="1:55" x14ac:dyDescent="0.25">
      <c r="A498" s="302"/>
      <c r="E498" s="97" t="s">
        <v>110</v>
      </c>
      <c r="F498" s="85" t="s">
        <v>10</v>
      </c>
      <c r="G498" s="197">
        <f>(G477)*N472/100</f>
        <v>0</v>
      </c>
      <c r="H498" s="44"/>
      <c r="I498" s="85"/>
      <c r="J498" s="116"/>
      <c r="K498" s="252"/>
      <c r="L498" s="85"/>
      <c r="M498" s="85"/>
      <c r="N498" s="85"/>
      <c r="O498" s="44"/>
      <c r="Q498" s="96" t="s">
        <v>12</v>
      </c>
      <c r="R498" s="84" t="s">
        <v>13</v>
      </c>
      <c r="S498" s="182">
        <f>SUM(S492:S493)*(44/28)*$U$13</f>
        <v>37.386633895894633</v>
      </c>
      <c r="T498" s="85"/>
      <c r="U498" s="85"/>
      <c r="V498" s="186" t="s">
        <v>210</v>
      </c>
      <c r="AA498" s="302"/>
      <c r="AC498" s="483"/>
      <c r="AG498" s="97" t="s">
        <v>110</v>
      </c>
      <c r="AH498" s="85" t="s">
        <v>10</v>
      </c>
      <c r="AI498" s="197">
        <f>(AI477)*AP472/100</f>
        <v>0</v>
      </c>
      <c r="AJ498" s="44"/>
      <c r="AK498" s="85"/>
      <c r="AL498" s="116"/>
      <c r="AM498" s="252"/>
      <c r="AN498" s="85"/>
      <c r="AO498" s="85"/>
      <c r="AP498" s="85"/>
      <c r="AQ498" s="44"/>
      <c r="AS498" s="96" t="s">
        <v>12</v>
      </c>
      <c r="AT498" s="84" t="s">
        <v>13</v>
      </c>
      <c r="AU498" s="182">
        <f>SUM(AU492:AU493)*(44/28)*$U$13</f>
        <v>45.018386229678995</v>
      </c>
      <c r="AV498" s="85"/>
      <c r="AW498" s="85"/>
      <c r="AX498" s="186" t="s">
        <v>210</v>
      </c>
      <c r="BC498" s="483"/>
    </row>
    <row r="499" spans="1:55" x14ac:dyDescent="0.25">
      <c r="A499" s="302"/>
      <c r="E499" s="96" t="s">
        <v>237</v>
      </c>
      <c r="F499" s="85"/>
      <c r="G499" s="176"/>
      <c r="H499" s="44"/>
      <c r="I499" s="85"/>
      <c r="J499" s="44"/>
      <c r="K499" s="251"/>
      <c r="L499" s="85"/>
      <c r="M499" s="85"/>
      <c r="N499" s="85"/>
      <c r="O499" s="44"/>
      <c r="Q499" s="96" t="s">
        <v>14</v>
      </c>
      <c r="R499" s="84" t="s">
        <v>13</v>
      </c>
      <c r="S499" s="176">
        <f>SUM(S494,S496)*(44/28)*X483*$U$13</f>
        <v>1.245893681067717</v>
      </c>
      <c r="T499" s="85"/>
      <c r="U499" s="85"/>
      <c r="V499" s="186"/>
      <c r="AA499" s="302"/>
      <c r="AC499" s="483"/>
      <c r="AG499" s="96" t="s">
        <v>237</v>
      </c>
      <c r="AH499" s="85"/>
      <c r="AI499" s="176"/>
      <c r="AJ499" s="44"/>
      <c r="AK499" s="85"/>
      <c r="AL499" s="44"/>
      <c r="AM499" s="251"/>
      <c r="AN499" s="85"/>
      <c r="AO499" s="85"/>
      <c r="AP499" s="85"/>
      <c r="AQ499" s="44"/>
      <c r="AS499" s="96" t="s">
        <v>14</v>
      </c>
      <c r="AT499" s="84" t="s">
        <v>13</v>
      </c>
      <c r="AU499" s="176">
        <f>SUM(AU494,AU496)*(44/28)*AZ483*$U$13</f>
        <v>1.4671025106487303</v>
      </c>
      <c r="AV499" s="85"/>
      <c r="AW499" s="85"/>
      <c r="AX499" s="186"/>
      <c r="BC499" s="483"/>
    </row>
    <row r="500" spans="1:55" x14ac:dyDescent="0.25">
      <c r="A500" s="302"/>
      <c r="E500" s="97" t="s">
        <v>107</v>
      </c>
      <c r="F500" s="85" t="s">
        <v>10</v>
      </c>
      <c r="G500" s="197">
        <f>((F482)+(F483*C478/365))*M475/100</f>
        <v>1.2499467179902756E-2</v>
      </c>
      <c r="H500" s="44"/>
      <c r="I500" s="85" t="s">
        <v>111</v>
      </c>
      <c r="J500" s="114" t="s">
        <v>11</v>
      </c>
      <c r="K500" s="252" t="s">
        <v>203</v>
      </c>
      <c r="L500" s="85"/>
      <c r="M500" s="85"/>
      <c r="N500" s="85"/>
      <c r="O500" s="44"/>
      <c r="Q500" s="96" t="s">
        <v>545</v>
      </c>
      <c r="R500" s="84" t="s">
        <v>13</v>
      </c>
      <c r="S500" s="258">
        <f>SUM(S495,S496)*(44/28)*X483*$U$13</f>
        <v>1.245893681067717</v>
      </c>
      <c r="T500" s="85"/>
      <c r="U500" s="85"/>
      <c r="V500" s="186"/>
      <c r="AA500" s="302"/>
      <c r="AC500" s="483"/>
      <c r="AG500" s="97" t="s">
        <v>107</v>
      </c>
      <c r="AH500" s="85" t="s">
        <v>10</v>
      </c>
      <c r="AI500" s="197">
        <f>((AH482)+(AH483*AE478/365))*AO475/100</f>
        <v>1.7899063249977532E-2</v>
      </c>
      <c r="AJ500" s="44"/>
      <c r="AK500" s="85" t="s">
        <v>111</v>
      </c>
      <c r="AL500" s="114" t="s">
        <v>11</v>
      </c>
      <c r="AM500" s="252" t="s">
        <v>203</v>
      </c>
      <c r="AN500" s="85"/>
      <c r="AO500" s="85"/>
      <c r="AP500" s="85"/>
      <c r="AQ500" s="44"/>
      <c r="AS500" s="96" t="s">
        <v>545</v>
      </c>
      <c r="AT500" s="84" t="s">
        <v>13</v>
      </c>
      <c r="AU500" s="258">
        <f>SUM(AU495,AU496)*(44/28)*AZ483*$U$13</f>
        <v>1.4671025106487303</v>
      </c>
      <c r="AV500" s="85"/>
      <c r="AW500" s="85"/>
      <c r="AX500" s="186"/>
      <c r="BC500" s="483"/>
    </row>
    <row r="501" spans="1:55" x14ac:dyDescent="0.25">
      <c r="A501" s="302"/>
      <c r="E501" s="97" t="s">
        <v>108</v>
      </c>
      <c r="F501" s="85" t="s">
        <v>10</v>
      </c>
      <c r="G501" s="197">
        <f>((G482)+(G483*C478/365))*N475/100</f>
        <v>0.12079592572427066</v>
      </c>
      <c r="H501" s="44"/>
      <c r="I501" s="85" t="s">
        <v>140</v>
      </c>
      <c r="J501" s="116"/>
      <c r="K501" s="251" t="s">
        <v>203</v>
      </c>
      <c r="L501" s="85"/>
      <c r="M501" s="85"/>
      <c r="N501" s="85"/>
      <c r="O501" s="44"/>
      <c r="Q501" s="122"/>
      <c r="R501" s="98"/>
      <c r="S501" s="199"/>
      <c r="T501" s="101"/>
      <c r="U501" s="101"/>
      <c r="V501" s="196" t="s">
        <v>210</v>
      </c>
      <c r="AA501" s="302"/>
      <c r="AC501" s="483"/>
      <c r="AG501" s="97" t="s">
        <v>108</v>
      </c>
      <c r="AH501" s="85" t="s">
        <v>10</v>
      </c>
      <c r="AI501" s="197">
        <f>((AI482)+(AI483*AE478/365))*AP475/100</f>
        <v>0.15823336587483147</v>
      </c>
      <c r="AJ501" s="44"/>
      <c r="AK501" s="85" t="s">
        <v>140</v>
      </c>
      <c r="AL501" s="116"/>
      <c r="AM501" s="251" t="s">
        <v>203</v>
      </c>
      <c r="AN501" s="85"/>
      <c r="AO501" s="85"/>
      <c r="AP501" s="85"/>
      <c r="AQ501" s="44"/>
      <c r="AS501" s="122"/>
      <c r="AT501" s="98"/>
      <c r="AU501" s="199"/>
      <c r="AV501" s="101"/>
      <c r="AW501" s="101"/>
      <c r="AX501" s="196" t="s">
        <v>210</v>
      </c>
      <c r="BC501" s="483"/>
    </row>
    <row r="502" spans="1:55" x14ac:dyDescent="0.25">
      <c r="A502" s="302"/>
      <c r="E502" s="97" t="s">
        <v>109</v>
      </c>
      <c r="F502" s="85" t="s">
        <v>10</v>
      </c>
      <c r="G502" s="197">
        <f>F484*M477/100</f>
        <v>0.56008250810372762</v>
      </c>
      <c r="H502" s="44"/>
      <c r="I502" s="85" t="s">
        <v>112</v>
      </c>
      <c r="J502" s="114" t="s">
        <v>90</v>
      </c>
      <c r="K502" s="252" t="s">
        <v>203</v>
      </c>
      <c r="L502" s="85"/>
      <c r="M502" s="85"/>
      <c r="N502" s="85"/>
      <c r="O502" s="44"/>
      <c r="AA502" s="302"/>
      <c r="AC502" s="483"/>
      <c r="AG502" s="97" t="s">
        <v>109</v>
      </c>
      <c r="AH502" s="85" t="s">
        <v>10</v>
      </c>
      <c r="AI502" s="197">
        <f>AH484*AO477/100</f>
        <v>0.79451412551191003</v>
      </c>
      <c r="AJ502" s="44"/>
      <c r="AK502" s="85" t="s">
        <v>112</v>
      </c>
      <c r="AL502" s="114" t="s">
        <v>90</v>
      </c>
      <c r="AM502" s="252" t="s">
        <v>203</v>
      </c>
      <c r="AN502" s="85"/>
      <c r="AO502" s="85"/>
      <c r="AP502" s="85"/>
      <c r="AQ502" s="44"/>
      <c r="BC502" s="483"/>
    </row>
    <row r="503" spans="1:55" x14ac:dyDescent="0.25">
      <c r="A503" s="302"/>
      <c r="E503" s="97" t="s">
        <v>110</v>
      </c>
      <c r="F503" s="85" t="s">
        <v>10</v>
      </c>
      <c r="G503" s="197">
        <f>(G482)*N476/100</f>
        <v>0.56247602309562394</v>
      </c>
      <c r="H503" s="44"/>
      <c r="I503" s="44"/>
      <c r="J503" s="116"/>
      <c r="K503" s="252" t="s">
        <v>203</v>
      </c>
      <c r="L503" s="85"/>
      <c r="M503" s="85"/>
      <c r="N503" s="85"/>
      <c r="O503" s="44"/>
      <c r="AA503" s="302"/>
      <c r="AC503" s="483"/>
      <c r="AG503" s="97" t="s">
        <v>110</v>
      </c>
      <c r="AH503" s="85" t="s">
        <v>10</v>
      </c>
      <c r="AI503" s="197">
        <f>(AI482)*AP476/100</f>
        <v>0.80545784624898886</v>
      </c>
      <c r="AJ503" s="44"/>
      <c r="AK503" s="44"/>
      <c r="AL503" s="116"/>
      <c r="AM503" s="252" t="s">
        <v>203</v>
      </c>
      <c r="AN503" s="85"/>
      <c r="AO503" s="85"/>
      <c r="AP503" s="85"/>
      <c r="AQ503" s="44"/>
      <c r="BC503" s="483"/>
    </row>
    <row r="504" spans="1:55" x14ac:dyDescent="0.25">
      <c r="A504" s="302"/>
      <c r="E504" s="97"/>
      <c r="F504" s="85"/>
      <c r="G504" s="176"/>
      <c r="H504" s="44"/>
      <c r="I504" s="85"/>
      <c r="J504" s="116"/>
      <c r="K504" s="252"/>
      <c r="L504" s="44"/>
      <c r="M504" s="44"/>
      <c r="N504" s="44"/>
      <c r="O504" s="44"/>
      <c r="V504" s="56" t="s">
        <v>210</v>
      </c>
      <c r="AA504" s="302"/>
      <c r="AC504" s="483"/>
      <c r="AG504" s="97"/>
      <c r="AH504" s="85"/>
      <c r="AI504" s="176"/>
      <c r="AJ504" s="44"/>
      <c r="AK504" s="85"/>
      <c r="AL504" s="116"/>
      <c r="AM504" s="252"/>
      <c r="AN504" s="44"/>
      <c r="AO504" s="44"/>
      <c r="AP504" s="44"/>
      <c r="AQ504" s="44"/>
      <c r="AX504" s="56" t="s">
        <v>210</v>
      </c>
      <c r="BC504" s="483"/>
    </row>
    <row r="505" spans="1:55" x14ac:dyDescent="0.25">
      <c r="A505" s="302"/>
      <c r="E505" s="97" t="s">
        <v>239</v>
      </c>
      <c r="F505" s="85" t="s">
        <v>10</v>
      </c>
      <c r="G505" s="176">
        <f>_xlfn.AGGREGATE(9,6,G495,G496,G500,G501)</f>
        <v>0.14394430305409237</v>
      </c>
      <c r="H505" s="44"/>
      <c r="I505" s="85" t="s">
        <v>113</v>
      </c>
      <c r="J505" s="100"/>
      <c r="K505" s="252" t="s">
        <v>203</v>
      </c>
      <c r="L505" s="44"/>
      <c r="M505" s="44"/>
      <c r="N505" s="44"/>
      <c r="O505" s="44"/>
      <c r="V505" s="56" t="s">
        <v>210</v>
      </c>
      <c r="AA505" s="302"/>
      <c r="AC505" s="483"/>
      <c r="AG505" s="97" t="s">
        <v>239</v>
      </c>
      <c r="AH505" s="85" t="s">
        <v>10</v>
      </c>
      <c r="AI505" s="176">
        <f>_xlfn.AGGREGATE(9,6,AI495,AI496,AI500,AI501)</f>
        <v>0.18606677578638203</v>
      </c>
      <c r="AJ505" s="44"/>
      <c r="AK505" s="85" t="s">
        <v>113</v>
      </c>
      <c r="AL505" s="100"/>
      <c r="AM505" s="252" t="s">
        <v>203</v>
      </c>
      <c r="AN505" s="44"/>
      <c r="AO505" s="44"/>
      <c r="AP505" s="44"/>
      <c r="AQ505" s="44"/>
      <c r="AX505" s="56" t="s">
        <v>210</v>
      </c>
      <c r="BC505" s="483"/>
    </row>
    <row r="506" spans="1:55" x14ac:dyDescent="0.25">
      <c r="A506" s="302"/>
      <c r="E506" s="97" t="s">
        <v>240</v>
      </c>
      <c r="F506" s="85" t="s">
        <v>10</v>
      </c>
      <c r="G506" s="176">
        <f>_xlfn.AGGREGATE(9,6,G497,G498,G502,G503)</f>
        <v>1.5892939546191247</v>
      </c>
      <c r="H506" s="44"/>
      <c r="I506" s="85" t="s">
        <v>114</v>
      </c>
      <c r="J506" s="100"/>
      <c r="K506" s="252" t="s">
        <v>203</v>
      </c>
      <c r="L506" s="85"/>
      <c r="M506" s="85"/>
      <c r="N506" s="85"/>
      <c r="O506" s="44"/>
      <c r="V506" s="56" t="s">
        <v>210</v>
      </c>
      <c r="AA506" s="302"/>
      <c r="AC506" s="483"/>
      <c r="AG506" s="97" t="s">
        <v>240</v>
      </c>
      <c r="AH506" s="85" t="s">
        <v>10</v>
      </c>
      <c r="AI506" s="176">
        <f>_xlfn.AGGREGATE(9,6,AI497,AI498,AI502,AI503)</f>
        <v>2.0359858211271908</v>
      </c>
      <c r="AJ506" s="44"/>
      <c r="AK506" s="85" t="s">
        <v>114</v>
      </c>
      <c r="AL506" s="100"/>
      <c r="AM506" s="252" t="s">
        <v>203</v>
      </c>
      <c r="AN506" s="85"/>
      <c r="AO506" s="85"/>
      <c r="AP506" s="85"/>
      <c r="AQ506" s="44"/>
      <c r="AX506" s="56" t="s">
        <v>210</v>
      </c>
      <c r="BC506" s="483"/>
    </row>
    <row r="507" spans="1:55" x14ac:dyDescent="0.25">
      <c r="A507" s="302"/>
      <c r="E507" s="97"/>
      <c r="F507" s="85"/>
      <c r="G507" s="85"/>
      <c r="H507" s="44"/>
      <c r="I507" s="85"/>
      <c r="J507" s="100"/>
      <c r="K507" s="252" t="s">
        <v>203</v>
      </c>
      <c r="L507" s="44"/>
      <c r="M507" s="44"/>
      <c r="N507" s="85"/>
      <c r="O507" s="44"/>
      <c r="V507" s="56" t="s">
        <v>210</v>
      </c>
      <c r="AA507" s="302"/>
      <c r="AC507" s="483"/>
      <c r="AG507" s="97"/>
      <c r="AH507" s="85"/>
      <c r="AI507" s="85"/>
      <c r="AJ507" s="44"/>
      <c r="AK507" s="85"/>
      <c r="AL507" s="100"/>
      <c r="AM507" s="252" t="s">
        <v>203</v>
      </c>
      <c r="AN507" s="44"/>
      <c r="AO507" s="44"/>
      <c r="AP507" s="85"/>
      <c r="AQ507" s="44"/>
      <c r="AX507" s="56" t="s">
        <v>210</v>
      </c>
      <c r="BC507" s="483"/>
    </row>
    <row r="508" spans="1:55" x14ac:dyDescent="0.25">
      <c r="A508" s="302"/>
      <c r="E508" s="97" t="s">
        <v>91</v>
      </c>
      <c r="F508" s="85"/>
      <c r="G508" s="85"/>
      <c r="H508" s="44"/>
      <c r="I508" s="85"/>
      <c r="J508" s="85"/>
      <c r="K508" s="251" t="s">
        <v>203</v>
      </c>
      <c r="L508" s="99"/>
      <c r="M508" s="85"/>
      <c r="N508" s="85"/>
      <c r="O508" s="44"/>
      <c r="V508" s="56" t="s">
        <v>210</v>
      </c>
      <c r="AA508" s="302"/>
      <c r="AC508" s="483"/>
      <c r="AG508" s="97" t="s">
        <v>91</v>
      </c>
      <c r="AH508" s="85"/>
      <c r="AI508" s="85"/>
      <c r="AJ508" s="44"/>
      <c r="AK508" s="85"/>
      <c r="AL508" s="85"/>
      <c r="AM508" s="251" t="s">
        <v>203</v>
      </c>
      <c r="AN508" s="99"/>
      <c r="AO508" s="85"/>
      <c r="AP508" s="85"/>
      <c r="AQ508" s="44"/>
      <c r="AX508" s="56" t="s">
        <v>210</v>
      </c>
      <c r="BC508" s="483"/>
    </row>
    <row r="509" spans="1:55" x14ac:dyDescent="0.25">
      <c r="A509" s="302"/>
      <c r="E509" s="97" t="s">
        <v>190</v>
      </c>
      <c r="F509" s="85" t="s">
        <v>13</v>
      </c>
      <c r="G509" s="176">
        <f>G489*(44/28)*$U$13</f>
        <v>0</v>
      </c>
      <c r="H509" s="44"/>
      <c r="I509" s="85" t="s">
        <v>173</v>
      </c>
      <c r="J509" s="85"/>
      <c r="K509" s="251" t="s">
        <v>203</v>
      </c>
      <c r="L509" s="85"/>
      <c r="M509" s="85"/>
      <c r="N509" s="85"/>
      <c r="O509" s="44"/>
      <c r="V509" s="56" t="s">
        <v>210</v>
      </c>
      <c r="AA509" s="302"/>
      <c r="AC509" s="483"/>
      <c r="AG509" s="97" t="s">
        <v>190</v>
      </c>
      <c r="AH509" s="85" t="s">
        <v>13</v>
      </c>
      <c r="AI509" s="176">
        <f>AI489*(44/28)*$U$13</f>
        <v>0</v>
      </c>
      <c r="AJ509" s="44"/>
      <c r="AK509" s="85" t="s">
        <v>173</v>
      </c>
      <c r="AL509" s="85"/>
      <c r="AM509" s="251" t="s">
        <v>203</v>
      </c>
      <c r="AN509" s="85"/>
      <c r="AO509" s="85"/>
      <c r="AP509" s="85"/>
      <c r="AQ509" s="44"/>
      <c r="AX509" s="56" t="s">
        <v>210</v>
      </c>
      <c r="BC509" s="483"/>
    </row>
    <row r="510" spans="1:55" x14ac:dyDescent="0.25">
      <c r="A510" s="302"/>
      <c r="E510" s="97" t="s">
        <v>189</v>
      </c>
      <c r="F510" s="85" t="s">
        <v>13</v>
      </c>
      <c r="G510" s="182">
        <f>G490*(44/28)*M488*$U$13</f>
        <v>0</v>
      </c>
      <c r="H510" s="44"/>
      <c r="I510" s="85" t="s">
        <v>174</v>
      </c>
      <c r="J510" s="85"/>
      <c r="K510" s="251" t="s">
        <v>203</v>
      </c>
      <c r="L510" s="85"/>
      <c r="M510" s="85"/>
      <c r="N510" s="85"/>
      <c r="O510" s="44"/>
      <c r="V510" s="56" t="s">
        <v>210</v>
      </c>
      <c r="AA510" s="302"/>
      <c r="AC510" s="483"/>
      <c r="AG510" s="97" t="s">
        <v>189</v>
      </c>
      <c r="AH510" s="85" t="s">
        <v>13</v>
      </c>
      <c r="AI510" s="182">
        <f>AI490*(44/28)*AO488*$U$13</f>
        <v>0</v>
      </c>
      <c r="AJ510" s="44"/>
      <c r="AK510" s="85" t="s">
        <v>174</v>
      </c>
      <c r="AL510" s="85"/>
      <c r="AM510" s="251" t="s">
        <v>203</v>
      </c>
      <c r="AN510" s="85"/>
      <c r="AO510" s="85"/>
      <c r="AP510" s="85"/>
      <c r="AQ510" s="44"/>
      <c r="AX510" s="56" t="s">
        <v>210</v>
      </c>
      <c r="BC510" s="483"/>
    </row>
    <row r="511" spans="1:55" x14ac:dyDescent="0.25">
      <c r="A511" s="302"/>
      <c r="E511" s="97" t="s">
        <v>198</v>
      </c>
      <c r="F511" s="85" t="s">
        <v>13</v>
      </c>
      <c r="G511" s="182">
        <f>G491*(44/28)*M490*$U$13</f>
        <v>0</v>
      </c>
      <c r="H511" s="44"/>
      <c r="I511" s="85" t="s">
        <v>199</v>
      </c>
      <c r="J511" s="85"/>
      <c r="K511" s="251" t="s">
        <v>203</v>
      </c>
      <c r="L511" s="85"/>
      <c r="M511" s="85"/>
      <c r="N511" s="85"/>
      <c r="O511" s="44"/>
      <c r="V511" s="56" t="s">
        <v>210</v>
      </c>
      <c r="AA511" s="302"/>
      <c r="AC511" s="483"/>
      <c r="AG511" s="97" t="s">
        <v>198</v>
      </c>
      <c r="AH511" s="85" t="s">
        <v>13</v>
      </c>
      <c r="AI511" s="182">
        <f>AI491*(44/28)*AO490*$U$13</f>
        <v>0</v>
      </c>
      <c r="AJ511" s="44"/>
      <c r="AK511" s="85" t="s">
        <v>199</v>
      </c>
      <c r="AL511" s="85"/>
      <c r="AM511" s="251" t="s">
        <v>203</v>
      </c>
      <c r="AN511" s="85"/>
      <c r="AO511" s="85"/>
      <c r="AP511" s="85"/>
      <c r="AQ511" s="44"/>
      <c r="AX511" s="56" t="s">
        <v>210</v>
      </c>
      <c r="BC511" s="483"/>
    </row>
    <row r="512" spans="1:55" x14ac:dyDescent="0.25">
      <c r="A512" s="302"/>
      <c r="E512" s="66"/>
      <c r="F512" s="44"/>
      <c r="G512" s="44"/>
      <c r="H512" s="44"/>
      <c r="I512" s="44"/>
      <c r="J512" s="44"/>
      <c r="K512" s="251" t="s">
        <v>203</v>
      </c>
      <c r="L512" s="85"/>
      <c r="M512" s="85"/>
      <c r="N512" s="85"/>
      <c r="O512" s="44"/>
      <c r="V512" s="56" t="s">
        <v>210</v>
      </c>
      <c r="AA512" s="302"/>
      <c r="AC512" s="483"/>
      <c r="AG512" s="66"/>
      <c r="AH512" s="44"/>
      <c r="AI512" s="44"/>
      <c r="AJ512" s="44"/>
      <c r="AK512" s="44"/>
      <c r="AL512" s="44"/>
      <c r="AM512" s="251" t="s">
        <v>203</v>
      </c>
      <c r="AN512" s="85"/>
      <c r="AO512" s="85"/>
      <c r="AP512" s="85"/>
      <c r="AQ512" s="44"/>
      <c r="AX512" s="56" t="s">
        <v>210</v>
      </c>
      <c r="BC512" s="483"/>
    </row>
    <row r="513" spans="1:55" x14ac:dyDescent="0.25">
      <c r="A513" s="302"/>
      <c r="E513" s="97" t="s">
        <v>15</v>
      </c>
      <c r="F513" s="85"/>
      <c r="G513" s="85"/>
      <c r="H513" s="44"/>
      <c r="I513" s="85"/>
      <c r="J513" s="85"/>
      <c r="K513" s="65"/>
      <c r="L513" s="85"/>
      <c r="M513" s="85"/>
      <c r="N513" s="85"/>
      <c r="O513" s="44"/>
      <c r="V513" s="56" t="s">
        <v>210</v>
      </c>
      <c r="AA513" s="302"/>
      <c r="AC513" s="483"/>
      <c r="AG513" s="97" t="s">
        <v>15</v>
      </c>
      <c r="AH513" s="85"/>
      <c r="AI513" s="85"/>
      <c r="AJ513" s="44"/>
      <c r="AK513" s="85"/>
      <c r="AL513" s="85"/>
      <c r="AM513" s="65"/>
      <c r="AN513" s="85"/>
      <c r="AO513" s="85"/>
      <c r="AP513" s="85"/>
      <c r="AQ513" s="44"/>
      <c r="AX513" s="56" t="s">
        <v>210</v>
      </c>
      <c r="BC513" s="483"/>
    </row>
    <row r="514" spans="1:55" x14ac:dyDescent="0.25">
      <c r="A514" s="302"/>
      <c r="E514" s="96" t="s">
        <v>186</v>
      </c>
      <c r="F514" s="84" t="s">
        <v>13</v>
      </c>
      <c r="G514" s="182">
        <f>G505*(44/28)*$U$13</f>
        <v>61.752106010205623</v>
      </c>
      <c r="H514" s="44"/>
      <c r="I514" s="85" t="s">
        <v>175</v>
      </c>
      <c r="J514" s="85"/>
      <c r="K514" s="251" t="s">
        <v>203</v>
      </c>
      <c r="L514" s="85"/>
      <c r="M514" s="85"/>
      <c r="N514" s="85"/>
      <c r="O514" s="44"/>
      <c r="AA514" s="302"/>
      <c r="AC514" s="483"/>
      <c r="AG514" s="96" t="s">
        <v>186</v>
      </c>
      <c r="AH514" s="84" t="s">
        <v>13</v>
      </c>
      <c r="AI514" s="182">
        <f>AI505*(44/28)*$U$13</f>
        <v>79.822646812357888</v>
      </c>
      <c r="AJ514" s="44"/>
      <c r="AK514" s="85" t="s">
        <v>175</v>
      </c>
      <c r="AL514" s="85"/>
      <c r="AM514" s="251" t="s">
        <v>203</v>
      </c>
      <c r="AN514" s="85"/>
      <c r="AO514" s="85"/>
      <c r="AP514" s="85"/>
      <c r="AQ514" s="44"/>
      <c r="BC514" s="483"/>
    </row>
    <row r="515" spans="1:55" x14ac:dyDescent="0.25">
      <c r="A515" s="302"/>
      <c r="E515" s="96" t="s">
        <v>187</v>
      </c>
      <c r="F515" s="84" t="s">
        <v>13</v>
      </c>
      <c r="G515" s="182">
        <f>G506*(44/28)*M488*$U$13</f>
        <v>6.8180710653160448</v>
      </c>
      <c r="H515" s="44"/>
      <c r="I515" s="85" t="s">
        <v>176</v>
      </c>
      <c r="J515" s="85"/>
      <c r="K515" s="251" t="s">
        <v>203</v>
      </c>
      <c r="L515" s="195"/>
      <c r="M515" s="195"/>
      <c r="N515" s="195"/>
      <c r="AA515" s="302"/>
      <c r="AC515" s="483"/>
      <c r="AG515" s="96" t="s">
        <v>187</v>
      </c>
      <c r="AH515" s="84" t="s">
        <v>13</v>
      </c>
      <c r="AI515" s="182">
        <f>AI506*(44/28)*AO488*$U$13</f>
        <v>8.7343791726356486</v>
      </c>
      <c r="AJ515" s="44"/>
      <c r="AK515" s="85" t="s">
        <v>176</v>
      </c>
      <c r="AL515" s="85"/>
      <c r="AM515" s="251" t="s">
        <v>203</v>
      </c>
      <c r="AN515" s="195"/>
      <c r="AO515" s="195"/>
      <c r="AP515" s="195"/>
      <c r="BC515" s="483"/>
    </row>
    <row r="516" spans="1:55" x14ac:dyDescent="0.25">
      <c r="A516" s="302"/>
      <c r="E516" s="96"/>
      <c r="F516" s="84"/>
      <c r="G516" s="182"/>
      <c r="H516" s="44"/>
      <c r="I516" s="85"/>
      <c r="J516" s="85"/>
      <c r="K516" s="251" t="s">
        <v>203</v>
      </c>
      <c r="L516" s="195"/>
      <c r="M516" s="195"/>
      <c r="N516" s="195"/>
      <c r="AA516" s="302"/>
      <c r="AC516" s="483"/>
      <c r="AG516" s="96"/>
      <c r="AH516" s="84"/>
      <c r="AI516" s="182"/>
      <c r="AJ516" s="44"/>
      <c r="AK516" s="85"/>
      <c r="AL516" s="85"/>
      <c r="AM516" s="251" t="s">
        <v>203</v>
      </c>
      <c r="AN516" s="195"/>
      <c r="AO516" s="195"/>
      <c r="AP516" s="195"/>
      <c r="BC516" s="483"/>
    </row>
    <row r="517" spans="1:55" x14ac:dyDescent="0.25">
      <c r="A517" s="302"/>
      <c r="E517" s="97" t="s">
        <v>92</v>
      </c>
      <c r="F517" s="85"/>
      <c r="G517" s="85"/>
      <c r="H517" s="44"/>
      <c r="I517" s="85"/>
      <c r="J517" s="85"/>
      <c r="K517" s="251" t="s">
        <v>203</v>
      </c>
      <c r="L517" s="195"/>
      <c r="M517" s="195"/>
      <c r="N517" s="195"/>
      <c r="AA517" s="302"/>
      <c r="AC517" s="483"/>
      <c r="AG517" s="97" t="s">
        <v>92</v>
      </c>
      <c r="AH517" s="85"/>
      <c r="AI517" s="85"/>
      <c r="AJ517" s="44"/>
      <c r="AK517" s="85"/>
      <c r="AL517" s="85"/>
      <c r="AM517" s="251" t="s">
        <v>203</v>
      </c>
      <c r="AN517" s="195"/>
      <c r="AO517" s="195"/>
      <c r="AP517" s="195"/>
      <c r="BC517" s="483"/>
    </row>
    <row r="518" spans="1:55" x14ac:dyDescent="0.25">
      <c r="A518" s="302"/>
      <c r="E518" s="97" t="s">
        <v>191</v>
      </c>
      <c r="F518" s="84" t="s">
        <v>13</v>
      </c>
      <c r="G518" s="176">
        <f>G509+G514</f>
        <v>61.752106010205623</v>
      </c>
      <c r="H518" s="44"/>
      <c r="I518" s="85"/>
      <c r="J518" s="85"/>
      <c r="K518" s="251" t="s">
        <v>203</v>
      </c>
      <c r="L518" s="195"/>
      <c r="M518" s="195"/>
      <c r="N518" s="195"/>
      <c r="AA518" s="302"/>
      <c r="AC518" s="483"/>
      <c r="AG518" s="97" t="s">
        <v>191</v>
      </c>
      <c r="AH518" s="84" t="s">
        <v>13</v>
      </c>
      <c r="AI518" s="176">
        <f>AI509+AI514</f>
        <v>79.822646812357888</v>
      </c>
      <c r="AJ518" s="44"/>
      <c r="AK518" s="85"/>
      <c r="AL518" s="85"/>
      <c r="AM518" s="251" t="s">
        <v>203</v>
      </c>
      <c r="AN518" s="195"/>
      <c r="AO518" s="195"/>
      <c r="AP518" s="195"/>
      <c r="BC518" s="483"/>
    </row>
    <row r="519" spans="1:55" x14ac:dyDescent="0.25">
      <c r="A519" s="302"/>
      <c r="E519" s="97" t="s">
        <v>192</v>
      </c>
      <c r="F519" s="84" t="s">
        <v>13</v>
      </c>
      <c r="G519" s="176">
        <f>G510+G511+G515</f>
        <v>6.8180710653160448</v>
      </c>
      <c r="H519" s="44"/>
      <c r="I519" s="85"/>
      <c r="J519" s="85"/>
      <c r="K519" s="251" t="s">
        <v>203</v>
      </c>
      <c r="L519" s="195"/>
      <c r="M519" s="195"/>
      <c r="N519" s="195"/>
      <c r="AA519" s="302"/>
      <c r="AC519" s="483"/>
      <c r="AG519" s="97" t="s">
        <v>192</v>
      </c>
      <c r="AH519" s="84" t="s">
        <v>13</v>
      </c>
      <c r="AI519" s="176">
        <f>AI510+AI511+AI515</f>
        <v>8.7343791726356486</v>
      </c>
      <c r="AJ519" s="44"/>
      <c r="AK519" s="85"/>
      <c r="AL519" s="85"/>
      <c r="AM519" s="251" t="s">
        <v>203</v>
      </c>
      <c r="AN519" s="195"/>
      <c r="AO519" s="195"/>
      <c r="AP519" s="195"/>
      <c r="BC519" s="483"/>
    </row>
    <row r="520" spans="1:55" x14ac:dyDescent="0.25">
      <c r="A520" s="302"/>
      <c r="E520" s="115"/>
      <c r="F520" s="24"/>
      <c r="G520" s="24"/>
      <c r="H520" s="24"/>
      <c r="I520" s="24"/>
      <c r="J520" s="24"/>
      <c r="K520" s="253" t="s">
        <v>203</v>
      </c>
      <c r="L520" s="195"/>
      <c r="M520" s="195"/>
      <c r="N520" s="195"/>
      <c r="AA520" s="302"/>
      <c r="AC520" s="483"/>
      <c r="AG520" s="115"/>
      <c r="AH520" s="24"/>
      <c r="AI520" s="24"/>
      <c r="AJ520" s="24"/>
      <c r="AK520" s="24"/>
      <c r="AL520" s="24"/>
      <c r="AM520" s="253" t="s">
        <v>203</v>
      </c>
      <c r="AN520" s="195"/>
      <c r="AO520" s="195"/>
      <c r="AP520" s="195"/>
      <c r="BC520" s="483"/>
    </row>
    <row r="521" spans="1:55" x14ac:dyDescent="0.25">
      <c r="E521" s="44"/>
      <c r="F521" s="44"/>
      <c r="G521" s="44"/>
      <c r="I521" s="44"/>
      <c r="J521" s="44"/>
      <c r="K521" s="208" t="s">
        <v>203</v>
      </c>
      <c r="L521" s="195"/>
      <c r="M521" s="195"/>
      <c r="N521" s="195"/>
      <c r="P521" s="44"/>
      <c r="Q521" s="44"/>
      <c r="R521" s="44"/>
      <c r="S521" s="44"/>
      <c r="T521" s="44"/>
      <c r="U521" s="44" t="s">
        <v>210</v>
      </c>
      <c r="V521" s="44"/>
      <c r="AG521" s="44"/>
      <c r="AH521" s="44"/>
      <c r="AI521" s="44"/>
      <c r="AK521" s="44"/>
      <c r="AL521" s="44"/>
      <c r="AM521" s="208" t="s">
        <v>203</v>
      </c>
      <c r="AN521" s="195"/>
      <c r="AO521" s="195"/>
      <c r="AP521" s="195"/>
      <c r="AR521" s="44"/>
      <c r="AS521" s="44"/>
      <c r="AT521" s="44"/>
      <c r="AU521" s="44"/>
      <c r="AV521" s="44"/>
      <c r="AW521" s="44" t="s">
        <v>210</v>
      </c>
      <c r="AX521" s="44"/>
    </row>
    <row r="522" spans="1:55" x14ac:dyDescent="0.25">
      <c r="A522" s="302"/>
      <c r="B522" s="562" t="str">
        <f>'CH4_Gylle_Stald&amp;Lager'!V367</f>
        <v>Malkekøer, tung race Tyre o. 12 mdr. -tto12</v>
      </c>
      <c r="C522" s="195"/>
      <c r="K522" s="207" t="s">
        <v>203</v>
      </c>
      <c r="L522" s="195"/>
      <c r="M522" s="195"/>
      <c r="N522" s="195"/>
      <c r="Q522" s="577" t="str">
        <f>B522</f>
        <v>Malkekøer, tung race Tyre o. 12 mdr. -tto12</v>
      </c>
      <c r="R522" s="139"/>
      <c r="S522" s="139"/>
      <c r="T522" s="139"/>
      <c r="U522" s="139"/>
      <c r="V522" s="139" t="s">
        <v>210</v>
      </c>
      <c r="W522" s="139"/>
      <c r="X522" s="139"/>
      <c r="Y522" s="139"/>
      <c r="Z522" s="139"/>
      <c r="AA522" s="302"/>
      <c r="AC522" s="483"/>
      <c r="AD522" s="562" t="str">
        <f>'CH4_Gylle_Stald&amp;Lager'!AH367</f>
        <v>Malkekøer, jersey Tyre o. 12 mdr. -jto12</v>
      </c>
      <c r="AE522" s="195"/>
      <c r="AM522" s="207" t="s">
        <v>203</v>
      </c>
      <c r="AN522" s="195"/>
      <c r="AO522" s="195"/>
      <c r="AP522" s="195"/>
      <c r="AS522" s="678" t="str">
        <f>AD522</f>
        <v>Malkekøer, jersey Tyre o. 12 mdr. -jto12</v>
      </c>
      <c r="AT522" s="139"/>
      <c r="AU522" s="139"/>
      <c r="AV522" s="139"/>
      <c r="AW522" s="139"/>
      <c r="AX522" s="139" t="s">
        <v>210</v>
      </c>
      <c r="AY522" s="139"/>
      <c r="AZ522" s="139"/>
      <c r="BA522" s="139"/>
      <c r="BB522" s="139"/>
      <c r="BC522" s="483"/>
    </row>
    <row r="523" spans="1:55" x14ac:dyDescent="0.25">
      <c r="A523" s="302"/>
      <c r="B523" s="135" t="s">
        <v>93</v>
      </c>
      <c r="C523" s="567"/>
      <c r="E523" s="104" t="s">
        <v>83</v>
      </c>
      <c r="F523" s="674" t="s">
        <v>9</v>
      </c>
      <c r="G523" s="111"/>
      <c r="H523" s="111"/>
      <c r="I523" s="111"/>
      <c r="J523" s="111"/>
      <c r="K523" s="248" t="s">
        <v>203</v>
      </c>
      <c r="L523" s="178"/>
      <c r="M523" s="178" t="s">
        <v>23</v>
      </c>
      <c r="N523" s="200" t="s">
        <v>27</v>
      </c>
      <c r="Q523" s="103"/>
      <c r="R523" s="191"/>
      <c r="S523" s="191"/>
      <c r="T523" s="191"/>
      <c r="U523" s="297"/>
      <c r="V523" s="298" t="s">
        <v>210</v>
      </c>
      <c r="W523" s="178"/>
      <c r="X523" s="178" t="s">
        <v>23</v>
      </c>
      <c r="Y523" s="200" t="s">
        <v>27</v>
      </c>
      <c r="Z523" s="139"/>
      <c r="AA523" s="302"/>
      <c r="AC523" s="483"/>
      <c r="AD523" s="135" t="s">
        <v>93</v>
      </c>
      <c r="AE523" s="567"/>
      <c r="AG523" s="104" t="s">
        <v>83</v>
      </c>
      <c r="AH523" s="674" t="s">
        <v>9</v>
      </c>
      <c r="AI523" s="111"/>
      <c r="AJ523" s="111"/>
      <c r="AK523" s="111"/>
      <c r="AL523" s="111"/>
      <c r="AM523" s="248" t="s">
        <v>203</v>
      </c>
      <c r="AN523" s="178"/>
      <c r="AO523" s="178" t="s">
        <v>23</v>
      </c>
      <c r="AP523" s="200" t="s">
        <v>27</v>
      </c>
      <c r="AS523" s="103"/>
      <c r="AT523" s="191"/>
      <c r="AU523" s="191"/>
      <c r="AV523" s="191"/>
      <c r="AW523" s="297"/>
      <c r="AX523" s="298" t="s">
        <v>210</v>
      </c>
      <c r="AY523" s="178"/>
      <c r="AZ523" s="178" t="s">
        <v>23</v>
      </c>
      <c r="BA523" s="200" t="s">
        <v>27</v>
      </c>
      <c r="BB523" s="139"/>
      <c r="BC523" s="483"/>
    </row>
    <row r="524" spans="1:55" x14ac:dyDescent="0.25">
      <c r="A524" s="302"/>
      <c r="B524" s="136" t="s">
        <v>81</v>
      </c>
      <c r="C524" s="575">
        <f>'CH4_Gylle_Stald&amp;Lager'!X370</f>
        <v>0</v>
      </c>
      <c r="E524" s="105" t="s">
        <v>231</v>
      </c>
      <c r="F524" s="675" t="s">
        <v>25</v>
      </c>
      <c r="G524" s="123"/>
      <c r="H524" s="123"/>
      <c r="I524" s="123"/>
      <c r="J524" s="123"/>
      <c r="K524" s="249" t="s">
        <v>203</v>
      </c>
      <c r="L524" s="175" t="s">
        <v>236</v>
      </c>
      <c r="M524" s="44"/>
      <c r="N524" s="65"/>
      <c r="Q524" s="255" t="s">
        <v>241</v>
      </c>
      <c r="R524" s="675" t="str">
        <f>F524</f>
        <v>Sengestald med spalter (kanal, bagskyl eller ringkanal)</v>
      </c>
      <c r="S524" s="192"/>
      <c r="T524" s="192"/>
      <c r="U524" s="192"/>
      <c r="V524" s="243"/>
      <c r="W524" s="175" t="s">
        <v>361</v>
      </c>
      <c r="X524" s="85"/>
      <c r="Y524" s="186"/>
      <c r="Z524" s="139"/>
      <c r="AA524" s="302"/>
      <c r="AC524" s="483"/>
      <c r="AD524" s="136" t="s">
        <v>81</v>
      </c>
      <c r="AE524" s="575">
        <f>'CH4_Gylle_Stald&amp;Lager'!AJ370</f>
        <v>0</v>
      </c>
      <c r="AG524" s="105" t="s">
        <v>231</v>
      </c>
      <c r="AH524" s="675" t="s">
        <v>25</v>
      </c>
      <c r="AI524" s="123"/>
      <c r="AJ524" s="123"/>
      <c r="AK524" s="123"/>
      <c r="AL524" s="123"/>
      <c r="AM524" s="249" t="s">
        <v>203</v>
      </c>
      <c r="AN524" s="175" t="s">
        <v>236</v>
      </c>
      <c r="AO524" s="44"/>
      <c r="AP524" s="65"/>
      <c r="AS524" s="255" t="s">
        <v>241</v>
      </c>
      <c r="AT524" s="675" t="str">
        <f>AH524</f>
        <v>Sengestald med spalter (kanal, bagskyl eller ringkanal)</v>
      </c>
      <c r="AU524" s="192"/>
      <c r="AV524" s="192"/>
      <c r="AW524" s="192"/>
      <c r="AX524" s="243"/>
      <c r="AY524" s="175" t="s">
        <v>361</v>
      </c>
      <c r="AZ524" s="85"/>
      <c r="BA524" s="186"/>
      <c r="BB524" s="139"/>
      <c r="BC524" s="483"/>
    </row>
    <row r="525" spans="1:55" x14ac:dyDescent="0.25">
      <c r="A525" s="302"/>
      <c r="B525" s="137" t="s">
        <v>82</v>
      </c>
      <c r="C525" s="576">
        <f>'CH4_Gylle_Stald&amp;Lager'!X371</f>
        <v>0</v>
      </c>
      <c r="E525" s="106"/>
      <c r="F525" s="676" t="s">
        <v>30</v>
      </c>
      <c r="G525" s="112"/>
      <c r="H525" s="112"/>
      <c r="I525" s="112"/>
      <c r="J525" s="112"/>
      <c r="K525" s="250" t="s">
        <v>203</v>
      </c>
      <c r="L525" s="44" t="s">
        <v>170</v>
      </c>
      <c r="M525" s="44">
        <f>INDEX($E$4:$N$19,MATCH(F524,$E$4:$E$19, 0),3)</f>
        <v>0.2</v>
      </c>
      <c r="N525" s="65">
        <f>INDEX($E$4:$N$19,MATCH(F524,$E$4:$E$19, 0),4)</f>
        <v>0</v>
      </c>
      <c r="Q525" s="255" t="s">
        <v>242</v>
      </c>
      <c r="R525" s="675" t="str">
        <f>F525</f>
        <v>Dybstrøelse, lang ædeplads med spalter (kanal, bagskyl eller ringkanal)</v>
      </c>
      <c r="S525" s="192"/>
      <c r="T525" s="192"/>
      <c r="U525" s="192"/>
      <c r="V525" s="243"/>
      <c r="W525" s="44" t="s">
        <v>170</v>
      </c>
      <c r="X525" s="44">
        <f>INDEX($E$22:$N$24,MATCH(R526,$E$22:$E$24, 0),3)</f>
        <v>0.5</v>
      </c>
      <c r="Y525" s="65">
        <f>INDEX($E$22:$N$24,MATCH(R526,$E$22:$E$24, 0),4)</f>
        <v>0</v>
      </c>
      <c r="Z525" s="139"/>
      <c r="AA525" s="302"/>
      <c r="AC525" s="483"/>
      <c r="AD525" s="137" t="s">
        <v>82</v>
      </c>
      <c r="AE525" s="576">
        <f>'CH4_Gylle_Stald&amp;Lager'!AJ371</f>
        <v>0</v>
      </c>
      <c r="AG525" s="106"/>
      <c r="AH525" s="676" t="s">
        <v>30</v>
      </c>
      <c r="AI525" s="112"/>
      <c r="AJ525" s="112"/>
      <c r="AK525" s="112"/>
      <c r="AL525" s="112"/>
      <c r="AM525" s="250" t="s">
        <v>203</v>
      </c>
      <c r="AN525" s="44" t="s">
        <v>170</v>
      </c>
      <c r="AO525" s="44">
        <f>INDEX($E$4:$N$19,MATCH(AH524,$E$4:$E$19, 0),3)</f>
        <v>0.2</v>
      </c>
      <c r="AP525" s="65">
        <f>INDEX($E$4:$N$19,MATCH(AH524,$E$4:$E$19, 0),4)</f>
        <v>0</v>
      </c>
      <c r="AS525" s="255" t="s">
        <v>242</v>
      </c>
      <c r="AT525" s="675" t="str">
        <f>AH525</f>
        <v>Dybstrøelse, lang ædeplads med spalter (kanal, bagskyl eller ringkanal)</v>
      </c>
      <c r="AU525" s="192"/>
      <c r="AV525" s="192"/>
      <c r="AW525" s="192"/>
      <c r="AX525" s="243"/>
      <c r="AY525" s="44" t="s">
        <v>170</v>
      </c>
      <c r="AZ525" s="44">
        <f>INDEX($E$22:$N$24,MATCH(AT526,$E$22:$E$24, 0),3)</f>
        <v>0.5</v>
      </c>
      <c r="BA525" s="65">
        <f>INDEX($E$22:$N$24,MATCH(AT526,$E$22:$E$24, 0),4)</f>
        <v>0</v>
      </c>
      <c r="BB525" s="139"/>
      <c r="BC525" s="483"/>
    </row>
    <row r="526" spans="1:55" x14ac:dyDescent="0.25">
      <c r="A526" s="303"/>
      <c r="B526" s="138"/>
      <c r="C526" s="568"/>
      <c r="E526" s="43"/>
      <c r="F526" s="294" t="s">
        <v>5</v>
      </c>
      <c r="G526" s="295" t="s">
        <v>6</v>
      </c>
      <c r="H526" s="296" t="s">
        <v>356</v>
      </c>
      <c r="I526" s="44"/>
      <c r="J526" s="44"/>
      <c r="K526" s="251" t="s">
        <v>203</v>
      </c>
      <c r="L526" s="44" t="s">
        <v>2</v>
      </c>
      <c r="M526" s="44"/>
      <c r="N526" s="65">
        <f>INDEX($E$4:$N$19,MATCH(F524,$E$4:$E$19, 0),7)</f>
        <v>0</v>
      </c>
      <c r="Q526" s="255" t="s">
        <v>360</v>
      </c>
      <c r="R526" s="675" t="s">
        <v>127</v>
      </c>
      <c r="S526" s="192"/>
      <c r="T526" s="192"/>
      <c r="U526" s="192"/>
      <c r="V526" s="243"/>
      <c r="W526" s="44" t="s">
        <v>1</v>
      </c>
      <c r="X526" s="44">
        <f>INDEX($E$22:$N$24,MATCH(R526,$E$22:$E$24, 0),6)</f>
        <v>3.4</v>
      </c>
      <c r="Y526" s="65"/>
      <c r="Z526" s="139"/>
      <c r="AA526" s="303"/>
      <c r="AC526" s="484"/>
      <c r="AD526" s="138"/>
      <c r="AE526" s="568"/>
      <c r="AG526" s="43"/>
      <c r="AH526" s="294" t="s">
        <v>5</v>
      </c>
      <c r="AI526" s="295" t="s">
        <v>6</v>
      </c>
      <c r="AJ526" s="296" t="s">
        <v>356</v>
      </c>
      <c r="AK526" s="44"/>
      <c r="AL526" s="44"/>
      <c r="AM526" s="251" t="s">
        <v>203</v>
      </c>
      <c r="AN526" s="44" t="s">
        <v>2</v>
      </c>
      <c r="AO526" s="44"/>
      <c r="AP526" s="65">
        <f>INDEX($E$4:$N$19,MATCH(AH524,$E$4:$E$19, 0),7)</f>
        <v>0</v>
      </c>
      <c r="AS526" s="255" t="s">
        <v>360</v>
      </c>
      <c r="AT526" s="675" t="s">
        <v>127</v>
      </c>
      <c r="AU526" s="192"/>
      <c r="AV526" s="192"/>
      <c r="AW526" s="192"/>
      <c r="AX526" s="243"/>
      <c r="AY526" s="44" t="s">
        <v>1</v>
      </c>
      <c r="AZ526" s="44">
        <f>INDEX($E$22:$N$24,MATCH(AT526,$E$22:$E$24, 0),6)</f>
        <v>3.4</v>
      </c>
      <c r="BA526" s="65"/>
      <c r="BB526" s="139"/>
      <c r="BC526" s="484"/>
    </row>
    <row r="527" spans="1:55" x14ac:dyDescent="0.25">
      <c r="A527" s="303"/>
      <c r="B527" s="229" t="s">
        <v>221</v>
      </c>
      <c r="C527" s="569"/>
      <c r="E527" s="66" t="s">
        <v>101</v>
      </c>
      <c r="F527" s="305">
        <f>INDEX(Normtal!$Q$3:$AC$551,MATCH(B522,Normtal!$Q$3:$Q$551,0),3)</f>
        <v>33.908866045380876</v>
      </c>
      <c r="G527" s="281"/>
      <c r="H527" s="285">
        <f>INDEX(Normtal!$Q$3:$AC$551,MATCH(B522,Normtal!$Q$3:$Q$551,0),4)</f>
        <v>22.509715332252835</v>
      </c>
      <c r="I527" s="85"/>
      <c r="J527" s="44"/>
      <c r="K527" s="251" t="s">
        <v>203</v>
      </c>
      <c r="L527" s="44" t="s">
        <v>1</v>
      </c>
      <c r="M527" s="44">
        <f>INDEX($E$4:$N$19,MATCH(F524,$E$4:$E$19, 0),6)</f>
        <v>13.5</v>
      </c>
      <c r="N527" s="65"/>
      <c r="Q527" s="299" t="s">
        <v>359</v>
      </c>
      <c r="R527" s="676" t="s">
        <v>135</v>
      </c>
      <c r="S527" s="194"/>
      <c r="T527" s="194"/>
      <c r="U527" s="194"/>
      <c r="V527" s="241"/>
      <c r="W527" s="44" t="s">
        <v>2</v>
      </c>
      <c r="X527" s="44"/>
      <c r="Y527" s="65">
        <f>INDEX($E$22:$N$24,MATCH(R526,$E$22:$E$24, 0),7)</f>
        <v>2</v>
      </c>
      <c r="Z527" s="139"/>
      <c r="AA527" s="303"/>
      <c r="AC527" s="484"/>
      <c r="AD527" s="229" t="s">
        <v>221</v>
      </c>
      <c r="AE527" s="569"/>
      <c r="AG527" s="66" t="s">
        <v>101</v>
      </c>
      <c r="AH527" s="305">
        <f>INDEX(Normtal!$Q$3:$AC$551,MATCH(AD522,Normtal!$Q$3:$Q$551,0),3)</f>
        <v>36.670247485188966</v>
      </c>
      <c r="AI527" s="281"/>
      <c r="AJ527" s="285">
        <f>INDEX(Normtal!$Q$3:$AC$551,MATCH(AD522,Normtal!$Q$3:$Q$551,0),4)</f>
        <v>24.114673617977527</v>
      </c>
      <c r="AK527" s="85"/>
      <c r="AL527" s="44"/>
      <c r="AM527" s="251" t="s">
        <v>203</v>
      </c>
      <c r="AN527" s="44" t="s">
        <v>1</v>
      </c>
      <c r="AO527" s="44">
        <f>INDEX($E$4:$N$19,MATCH(AH524,$E$4:$E$19, 0),6)</f>
        <v>13.5</v>
      </c>
      <c r="AP527" s="65"/>
      <c r="AS527" s="299" t="s">
        <v>359</v>
      </c>
      <c r="AT527" s="676" t="s">
        <v>135</v>
      </c>
      <c r="AU527" s="194"/>
      <c r="AV527" s="194"/>
      <c r="AW527" s="194"/>
      <c r="AX527" s="241"/>
      <c r="AY527" s="44" t="s">
        <v>2</v>
      </c>
      <c r="AZ527" s="44"/>
      <c r="BA527" s="65">
        <f>INDEX($E$22:$N$24,MATCH(AT526,$E$22:$E$24, 0),7)</f>
        <v>2</v>
      </c>
      <c r="BB527" s="139"/>
      <c r="BC527" s="484"/>
    </row>
    <row r="528" spans="1:55" x14ac:dyDescent="0.25">
      <c r="A528" s="303"/>
      <c r="B528" s="231" t="s">
        <v>224</v>
      </c>
      <c r="C528" s="574">
        <f>'CH4_Gylle_Stald&amp;Lager'!X374</f>
        <v>0.25</v>
      </c>
      <c r="E528" s="66" t="s">
        <v>103</v>
      </c>
      <c r="F528" s="305">
        <f>F527*(C524/365)*(C525/24)</f>
        <v>0</v>
      </c>
      <c r="G528" s="281"/>
      <c r="H528" s="285">
        <f>H527*(C524/365)*(C525/24)</f>
        <v>0</v>
      </c>
      <c r="I528" s="44" t="s">
        <v>357</v>
      </c>
      <c r="J528" s="44"/>
      <c r="K528" s="251" t="s">
        <v>203</v>
      </c>
      <c r="L528" s="175" t="s">
        <v>237</v>
      </c>
      <c r="M528" s="44"/>
      <c r="N528" s="65"/>
      <c r="Q528" s="118"/>
      <c r="R528" s="119"/>
      <c r="S528" s="119"/>
      <c r="T528" s="119"/>
      <c r="U528" s="119"/>
      <c r="V528" s="124"/>
      <c r="W528" s="56" t="s">
        <v>177</v>
      </c>
      <c r="X528" s="310">
        <f>$J$26</f>
        <v>0.5</v>
      </c>
      <c r="Z528" s="139"/>
      <c r="AA528" s="303"/>
      <c r="AC528" s="484"/>
      <c r="AD528" s="231" t="s">
        <v>224</v>
      </c>
      <c r="AE528" s="574">
        <f>'CH4_Gylle_Stald&amp;Lager'!AJ374</f>
        <v>0.18</v>
      </c>
      <c r="AG528" s="66" t="s">
        <v>103</v>
      </c>
      <c r="AH528" s="305">
        <f>AH527*(AE524/365)*(AE525/24)</f>
        <v>0</v>
      </c>
      <c r="AI528" s="281"/>
      <c r="AJ528" s="285">
        <f>AJ527*(AE524/365)*(AE525/24)</f>
        <v>0</v>
      </c>
      <c r="AK528" s="44" t="s">
        <v>357</v>
      </c>
      <c r="AL528" s="44"/>
      <c r="AM528" s="251" t="s">
        <v>203</v>
      </c>
      <c r="AN528" s="175" t="s">
        <v>237</v>
      </c>
      <c r="AO528" s="44"/>
      <c r="AP528" s="65"/>
      <c r="AS528" s="118"/>
      <c r="AT528" s="119"/>
      <c r="AU528" s="119"/>
      <c r="AV528" s="119"/>
      <c r="AW528" s="119"/>
      <c r="AX528" s="124"/>
      <c r="AY528" s="56" t="s">
        <v>177</v>
      </c>
      <c r="AZ528" s="310">
        <f>$J$26</f>
        <v>0.5</v>
      </c>
      <c r="BB528" s="139"/>
      <c r="BC528" s="484"/>
    </row>
    <row r="529" spans="1:55" x14ac:dyDescent="0.25">
      <c r="A529" s="303"/>
      <c r="B529" s="233" t="s">
        <v>223</v>
      </c>
      <c r="C529" s="570">
        <f>(365-C524*C525/24)*C528</f>
        <v>91.25</v>
      </c>
      <c r="D529" s="254"/>
      <c r="E529" s="66" t="s">
        <v>104</v>
      </c>
      <c r="F529" s="306">
        <f>F527-F528</f>
        <v>33.908866045380876</v>
      </c>
      <c r="G529" s="289"/>
      <c r="H529" s="287">
        <f>H527-H528</f>
        <v>22.509715332252835</v>
      </c>
      <c r="I529" s="44" t="s">
        <v>358</v>
      </c>
      <c r="J529" s="44"/>
      <c r="K529" s="251" t="s">
        <v>203</v>
      </c>
      <c r="L529" s="99" t="s">
        <v>170</v>
      </c>
      <c r="M529" s="85">
        <f>INDEX($E$4:$N$19,MATCH(F525,$E$4:$E$19, 0),3)</f>
        <v>0.2</v>
      </c>
      <c r="N529" s="186">
        <f>INDEX($E$4:$N$19,MATCH(F525,$E$4:$E$19, 0),4)</f>
        <v>1</v>
      </c>
      <c r="Q529" s="96" t="s">
        <v>139</v>
      </c>
      <c r="R529" s="85"/>
      <c r="S529" s="85"/>
      <c r="T529" s="85"/>
      <c r="U529" s="85"/>
      <c r="V529" s="186" t="s">
        <v>210</v>
      </c>
      <c r="W529" s="175" t="s">
        <v>364</v>
      </c>
      <c r="X529" s="44"/>
      <c r="Y529" s="65"/>
      <c r="Z529" s="139"/>
      <c r="AA529" s="303"/>
      <c r="AC529" s="484"/>
      <c r="AD529" s="233" t="s">
        <v>223</v>
      </c>
      <c r="AE529" s="570">
        <f>(365-AE524*AE525/24)*AE528</f>
        <v>65.7</v>
      </c>
      <c r="AF529" s="254"/>
      <c r="AG529" s="66" t="s">
        <v>104</v>
      </c>
      <c r="AH529" s="306">
        <f>AH527-AH528</f>
        <v>36.670247485188966</v>
      </c>
      <c r="AI529" s="289"/>
      <c r="AJ529" s="287">
        <f>AJ527-AJ528</f>
        <v>24.114673617977527</v>
      </c>
      <c r="AK529" s="44" t="s">
        <v>358</v>
      </c>
      <c r="AL529" s="44"/>
      <c r="AM529" s="251" t="s">
        <v>203</v>
      </c>
      <c r="AN529" s="99" t="s">
        <v>170</v>
      </c>
      <c r="AO529" s="85">
        <f>INDEX($E$4:$N$19,MATCH(AH525,$E$4:$E$19, 0),3)</f>
        <v>0.2</v>
      </c>
      <c r="AP529" s="186">
        <f>INDEX($E$4:$N$19,MATCH(AH525,$E$4:$E$19, 0),4)</f>
        <v>1</v>
      </c>
      <c r="AS529" s="96" t="s">
        <v>139</v>
      </c>
      <c r="AT529" s="85"/>
      <c r="AU529" s="85"/>
      <c r="AV529" s="85"/>
      <c r="AW529" s="85"/>
      <c r="AX529" s="186" t="s">
        <v>210</v>
      </c>
      <c r="AY529" s="175" t="s">
        <v>364</v>
      </c>
      <c r="AZ529" s="44"/>
      <c r="BA529" s="65"/>
      <c r="BB529" s="139"/>
      <c r="BC529" s="484"/>
    </row>
    <row r="530" spans="1:55" x14ac:dyDescent="0.25">
      <c r="A530" s="303"/>
      <c r="B530" s="231" t="s">
        <v>222</v>
      </c>
      <c r="C530" s="573"/>
      <c r="E530" s="66"/>
      <c r="F530" s="677" t="s">
        <v>293</v>
      </c>
      <c r="G530" s="221"/>
      <c r="H530" s="291"/>
      <c r="I530" s="44"/>
      <c r="J530" s="44"/>
      <c r="K530" s="65"/>
      <c r="L530" s="85" t="s">
        <v>2</v>
      </c>
      <c r="M530" s="85"/>
      <c r="N530" s="186">
        <f>INDEX($E$4:$N$19,MATCH(F525,$E$4:$E$19, 0),7)</f>
        <v>6</v>
      </c>
      <c r="Q530" s="66"/>
      <c r="R530" s="44"/>
      <c r="S530" s="44"/>
      <c r="T530" s="85"/>
      <c r="U530" s="85"/>
      <c r="V530" s="186" t="s">
        <v>210</v>
      </c>
      <c r="W530" s="99" t="s">
        <v>170</v>
      </c>
      <c r="X530" s="85">
        <f>INDEX($E$22:$N$24,MATCH(R527,$E$22:$E$24, 0),3)</f>
        <v>0</v>
      </c>
      <c r="Y530" s="186">
        <f>INDEX($E$22:$N$24,MATCH(R527,$E$22:$E$24, 0),4)</f>
        <v>1</v>
      </c>
      <c r="Z530" s="139"/>
      <c r="AA530" s="303"/>
      <c r="AC530" s="484"/>
      <c r="AD530" s="231" t="s">
        <v>222</v>
      </c>
      <c r="AE530" s="573"/>
      <c r="AG530" s="66"/>
      <c r="AH530" s="677" t="s">
        <v>615</v>
      </c>
      <c r="AI530" s="221"/>
      <c r="AJ530" s="291"/>
      <c r="AK530" s="44"/>
      <c r="AL530" s="44"/>
      <c r="AM530" s="65"/>
      <c r="AN530" s="85" t="s">
        <v>2</v>
      </c>
      <c r="AO530" s="85"/>
      <c r="AP530" s="186">
        <f>INDEX($E$4:$N$19,MATCH(AH525,$E$4:$E$19, 0),7)</f>
        <v>6</v>
      </c>
      <c r="AS530" s="66"/>
      <c r="AT530" s="44"/>
      <c r="AU530" s="44"/>
      <c r="AV530" s="85"/>
      <c r="AW530" s="85"/>
      <c r="AX530" s="186" t="s">
        <v>210</v>
      </c>
      <c r="AY530" s="99" t="s">
        <v>170</v>
      </c>
      <c r="AZ530" s="85">
        <f>INDEX($E$22:$N$24,MATCH(AT527,$E$22:$E$24, 0),3)</f>
        <v>0</v>
      </c>
      <c r="BA530" s="186">
        <f>INDEX($E$22:$N$24,MATCH(AT527,$E$22:$E$24, 0),4)</f>
        <v>1</v>
      </c>
      <c r="BB530" s="139"/>
      <c r="BC530" s="484"/>
    </row>
    <row r="531" spans="1:55" x14ac:dyDescent="0.25">
      <c r="A531" s="303"/>
      <c r="B531" s="231" t="s">
        <v>224</v>
      </c>
      <c r="C531" s="571">
        <f>1-C528</f>
        <v>0.75</v>
      </c>
      <c r="E531" s="66" t="s">
        <v>232</v>
      </c>
      <c r="F531" s="305">
        <f>F529*C528*1</f>
        <v>8.4772165113452189</v>
      </c>
      <c r="G531" s="281"/>
      <c r="H531" s="286"/>
      <c r="I531" s="246" t="str">
        <f>INDEX($E$4:$N$19,MATCH(F524,$E$4:$E$19, 0),2)</f>
        <v>100% gyllesystem</v>
      </c>
      <c r="J531" s="246"/>
      <c r="K531" s="251" t="s">
        <v>203</v>
      </c>
      <c r="L531" s="99" t="s">
        <v>1</v>
      </c>
      <c r="M531" s="85">
        <f>INDEX($E$4:$N$19,MATCH(F525,$E$4:$E$19, 0),6)</f>
        <v>13.5</v>
      </c>
      <c r="N531" s="65"/>
      <c r="Q531" s="211" t="s">
        <v>371</v>
      </c>
      <c r="R531" s="85" t="s">
        <v>10</v>
      </c>
      <c r="S531" s="176">
        <f>_xlfn.AGGREGATE(9,6, F531:G531)</f>
        <v>8.4772165113452189</v>
      </c>
      <c r="T531" s="85"/>
      <c r="U531" s="44"/>
      <c r="V531" s="65"/>
      <c r="W531" s="99" t="s">
        <v>1</v>
      </c>
      <c r="X531" s="85">
        <f>INDEX($E$22:$N$24,MATCH(R527,$E$22:$E$24, 0),6)</f>
        <v>0</v>
      </c>
      <c r="Y531" s="186"/>
      <c r="Z531" s="139"/>
      <c r="AA531" s="303"/>
      <c r="AC531" s="484"/>
      <c r="AD531" s="231" t="s">
        <v>224</v>
      </c>
      <c r="AE531" s="571">
        <f>1-AE528</f>
        <v>0.82000000000000006</v>
      </c>
      <c r="AG531" s="66" t="s">
        <v>232</v>
      </c>
      <c r="AH531" s="305">
        <f>AH529*AE528*1</f>
        <v>6.6006445473340136</v>
      </c>
      <c r="AI531" s="281"/>
      <c r="AJ531" s="286"/>
      <c r="AK531" s="246" t="str">
        <f>INDEX($E$4:$N$19,MATCH(AH524,$E$4:$E$19, 0),2)</f>
        <v>100% gyllesystem</v>
      </c>
      <c r="AL531" s="246"/>
      <c r="AM531" s="251" t="s">
        <v>203</v>
      </c>
      <c r="AN531" s="99" t="s">
        <v>1</v>
      </c>
      <c r="AO531" s="85">
        <f>INDEX($E$4:$N$19,MATCH(AH525,$E$4:$E$19, 0),6)</f>
        <v>13.5</v>
      </c>
      <c r="AP531" s="65"/>
      <c r="AS531" s="211" t="s">
        <v>371</v>
      </c>
      <c r="AT531" s="85" t="s">
        <v>10</v>
      </c>
      <c r="AU531" s="176">
        <f>_xlfn.AGGREGATE(9,6, AH531:AI531)</f>
        <v>6.6006445473340136</v>
      </c>
      <c r="AV531" s="85"/>
      <c r="AW531" s="44"/>
      <c r="AX531" s="65"/>
      <c r="AY531" s="99" t="s">
        <v>1</v>
      </c>
      <c r="AZ531" s="85">
        <f>INDEX($E$22:$N$24,MATCH(AT527,$E$22:$E$24, 0),6)</f>
        <v>0</v>
      </c>
      <c r="BA531" s="186"/>
      <c r="BB531" s="139"/>
      <c r="BC531" s="484"/>
    </row>
    <row r="532" spans="1:55" x14ac:dyDescent="0.25">
      <c r="A532" s="302"/>
      <c r="B532" s="233" t="s">
        <v>81</v>
      </c>
      <c r="C532" s="570">
        <f>(365-C524*C525/24)*C531</f>
        <v>273.75</v>
      </c>
      <c r="E532" s="66" t="s">
        <v>102</v>
      </c>
      <c r="F532" s="305">
        <f>INDEX(Normtal!$Q$3:$AC$551,MATCH(F530,Normtal!$AA$3:$AA$551, 0),6)*C529/365</f>
        <v>0.11634375000000002</v>
      </c>
      <c r="G532" s="283"/>
      <c r="H532" s="286"/>
      <c r="I532" s="44"/>
      <c r="J532" s="44"/>
      <c r="K532" s="65"/>
      <c r="L532" s="175" t="s">
        <v>363</v>
      </c>
      <c r="M532" s="44"/>
      <c r="N532" s="65"/>
      <c r="Q532" s="211" t="s">
        <v>243</v>
      </c>
      <c r="R532" s="85" t="s">
        <v>10</v>
      </c>
      <c r="S532" s="176">
        <f>_xlfn.AGGREGATE(9,6, F532:G532)</f>
        <v>0.11634375000000002</v>
      </c>
      <c r="T532" s="85"/>
      <c r="U532" s="85"/>
      <c r="V532" s="186" t="s">
        <v>210</v>
      </c>
      <c r="W532" s="85" t="s">
        <v>2</v>
      </c>
      <c r="X532" s="85"/>
      <c r="Y532" s="186">
        <f>INDEX($E$22:$N$24,MATCH(R527,$E$22:$E$24, 0),7)</f>
        <v>3</v>
      </c>
      <c r="Z532" s="139"/>
      <c r="AA532" s="302"/>
      <c r="AC532" s="483"/>
      <c r="AD532" s="233" t="s">
        <v>81</v>
      </c>
      <c r="AE532" s="570">
        <f>(365-AE524*AE525/24)*AE531</f>
        <v>299.3</v>
      </c>
      <c r="AG532" s="66" t="s">
        <v>102</v>
      </c>
      <c r="AH532" s="305">
        <f>INDEX(Normtal!$Q$3:$AC$551,MATCH(AH530,Normtal!$AA$3:$AA$551, 0),6)*AE529/365</f>
        <v>5.5845000000000006E-2</v>
      </c>
      <c r="AI532" s="283"/>
      <c r="AJ532" s="286"/>
      <c r="AK532" s="44"/>
      <c r="AL532" s="44"/>
      <c r="AM532" s="65"/>
      <c r="AN532" s="175" t="s">
        <v>363</v>
      </c>
      <c r="AO532" s="44"/>
      <c r="AP532" s="65"/>
      <c r="AS532" s="211" t="s">
        <v>243</v>
      </c>
      <c r="AT532" s="85" t="s">
        <v>10</v>
      </c>
      <c r="AU532" s="176">
        <f>_xlfn.AGGREGATE(9,6, AH532:AI532)</f>
        <v>5.5845000000000006E-2</v>
      </c>
      <c r="AV532" s="85"/>
      <c r="AW532" s="85"/>
      <c r="AX532" s="186" t="s">
        <v>210</v>
      </c>
      <c r="AY532" s="85" t="s">
        <v>2</v>
      </c>
      <c r="AZ532" s="85"/>
      <c r="BA532" s="186">
        <f>INDEX($E$22:$N$24,MATCH(AT527,$E$22:$E$24, 0),7)</f>
        <v>3</v>
      </c>
      <c r="BB532" s="139"/>
      <c r="BC532" s="483"/>
    </row>
    <row r="533" spans="1:55" x14ac:dyDescent="0.25">
      <c r="A533" s="302"/>
      <c r="C533" s="195"/>
      <c r="E533" s="66" t="s">
        <v>235</v>
      </c>
      <c r="F533" s="307">
        <f>INDEX(Normtal!$Q$3:$AC$551,MATCH(F530,Normtal!$AA$3:$AA$551, 0),4)*C529/365</f>
        <v>5.6274288330632087</v>
      </c>
      <c r="G533" s="247"/>
      <c r="H533" s="285">
        <f>H529*C528</f>
        <v>5.6274288330632087</v>
      </c>
      <c r="I533" s="44"/>
      <c r="J533" s="44"/>
      <c r="K533" s="251"/>
      <c r="L533" s="44" t="s">
        <v>362</v>
      </c>
      <c r="M533" s="44">
        <f>$J$26</f>
        <v>0.5</v>
      </c>
      <c r="N533" s="65"/>
      <c r="Q533" s="211" t="s">
        <v>365</v>
      </c>
      <c r="R533" s="85" t="s">
        <v>10</v>
      </c>
      <c r="S533" s="176">
        <f>-_xlfn.AGGREGATE(9,6,G549:G550)</f>
        <v>-1.718712052269044E-2</v>
      </c>
      <c r="T533" s="85"/>
      <c r="U533" s="85"/>
      <c r="V533" s="186" t="s">
        <v>210</v>
      </c>
      <c r="W533" s="86" t="s">
        <v>363</v>
      </c>
      <c r="X533" s="85"/>
      <c r="Y533" s="186"/>
      <c r="Z533" s="139"/>
      <c r="AA533" s="302"/>
      <c r="AC533" s="483"/>
      <c r="AE533" s="195"/>
      <c r="AG533" s="66" t="s">
        <v>235</v>
      </c>
      <c r="AH533" s="307">
        <f>INDEX(Normtal!$Q$3:$AC$551,MATCH(AH530,Normtal!$AA$3:$AA$551, 0),4)*AE529/365</f>
        <v>4.3406412512359545</v>
      </c>
      <c r="AI533" s="247"/>
      <c r="AJ533" s="285">
        <f>AJ529*AE528</f>
        <v>4.3406412512359545</v>
      </c>
      <c r="AK533" s="44"/>
      <c r="AL533" s="44"/>
      <c r="AM533" s="251"/>
      <c r="AN533" s="44" t="s">
        <v>362</v>
      </c>
      <c r="AO533" s="44">
        <f>$J$26</f>
        <v>0.5</v>
      </c>
      <c r="AP533" s="65"/>
      <c r="AS533" s="211" t="s">
        <v>365</v>
      </c>
      <c r="AT533" s="85" t="s">
        <v>10</v>
      </c>
      <c r="AU533" s="176">
        <f>-_xlfn.AGGREGATE(9,6,AI549:AI550)</f>
        <v>-1.3312979094668028E-2</v>
      </c>
      <c r="AV533" s="85"/>
      <c r="AW533" s="85"/>
      <c r="AX533" s="186" t="s">
        <v>210</v>
      </c>
      <c r="AY533" s="86" t="s">
        <v>363</v>
      </c>
      <c r="AZ533" s="85"/>
      <c r="BA533" s="186"/>
      <c r="BB533" s="139"/>
      <c r="BC533" s="483"/>
    </row>
    <row r="534" spans="1:55" ht="30" x14ac:dyDescent="0.25">
      <c r="A534" s="302"/>
      <c r="B534" s="257" t="s">
        <v>245</v>
      </c>
      <c r="C534" s="572">
        <f>'CH4_Gylle_Stald&amp;Lager'!X380</f>
        <v>0</v>
      </c>
      <c r="E534" s="66"/>
      <c r="F534" s="290"/>
      <c r="G534" s="290"/>
      <c r="H534" s="292"/>
      <c r="I534" s="44"/>
      <c r="J534" s="44"/>
      <c r="K534" s="251" t="s">
        <v>203</v>
      </c>
      <c r="L534" s="44" t="s">
        <v>171</v>
      </c>
      <c r="M534" s="44">
        <f>$J$27</f>
        <v>-0.5</v>
      </c>
      <c r="N534" s="65"/>
      <c r="Q534" s="211" t="s">
        <v>367</v>
      </c>
      <c r="R534" s="85" t="s">
        <v>10</v>
      </c>
      <c r="S534" s="176">
        <f>-_xlfn.AGGREGATE(9,6,G551,G552)</f>
        <v>-0.75970289246353317</v>
      </c>
      <c r="T534" s="85"/>
      <c r="U534" s="85"/>
      <c r="V534" s="186"/>
      <c r="W534" s="99" t="s">
        <v>171</v>
      </c>
      <c r="X534" s="85">
        <f>$J$27</f>
        <v>-0.5</v>
      </c>
      <c r="Y534" s="186"/>
      <c r="Z534" s="139"/>
      <c r="AA534" s="302"/>
      <c r="AC534" s="483"/>
      <c r="AD534" s="257" t="s">
        <v>245</v>
      </c>
      <c r="AE534" s="572">
        <f>'CH4_Gylle_Stald&amp;Lager'!AJ380</f>
        <v>0</v>
      </c>
      <c r="AG534" s="66"/>
      <c r="AH534" s="290"/>
      <c r="AI534" s="290"/>
      <c r="AJ534" s="292"/>
      <c r="AK534" s="44"/>
      <c r="AL534" s="44"/>
      <c r="AM534" s="251" t="s">
        <v>203</v>
      </c>
      <c r="AN534" s="44" t="s">
        <v>171</v>
      </c>
      <c r="AO534" s="44">
        <f>$J$27</f>
        <v>-0.5</v>
      </c>
      <c r="AP534" s="65"/>
      <c r="AS534" s="211" t="s">
        <v>367</v>
      </c>
      <c r="AT534" s="85" t="s">
        <v>10</v>
      </c>
      <c r="AU534" s="176">
        <f>-_xlfn.AGGREGATE(9,6,AI551,AI552)</f>
        <v>-0.58598656891685386</v>
      </c>
      <c r="AV534" s="85"/>
      <c r="AW534" s="85"/>
      <c r="AX534" s="186"/>
      <c r="AY534" s="99" t="s">
        <v>171</v>
      </c>
      <c r="AZ534" s="85">
        <f>$J$27</f>
        <v>-0.5</v>
      </c>
      <c r="BA534" s="186"/>
      <c r="BB534" s="139"/>
      <c r="BC534" s="483"/>
    </row>
    <row r="535" spans="1:55" x14ac:dyDescent="0.25">
      <c r="A535" s="302"/>
      <c r="E535" s="66"/>
      <c r="F535" s="677" t="s">
        <v>294</v>
      </c>
      <c r="G535" s="677" t="s">
        <v>295</v>
      </c>
      <c r="H535" s="284"/>
      <c r="I535" s="44" t="s">
        <v>203</v>
      </c>
      <c r="J535" s="44"/>
      <c r="K535" s="65"/>
      <c r="L535" s="293" t="s">
        <v>238</v>
      </c>
      <c r="M535" s="44"/>
      <c r="N535" s="65"/>
      <c r="Q535" s="455"/>
      <c r="R535" s="84"/>
      <c r="S535" s="94"/>
      <c r="T535" s="85"/>
      <c r="U535" s="85"/>
      <c r="V535" s="186" t="s">
        <v>210</v>
      </c>
      <c r="W535" s="85" t="s">
        <v>177</v>
      </c>
      <c r="X535" s="85">
        <f>$J$26</f>
        <v>0.5</v>
      </c>
      <c r="Y535" s="186"/>
      <c r="Z535" s="139"/>
      <c r="AA535" s="302"/>
      <c r="AC535" s="483"/>
      <c r="AG535" s="66"/>
      <c r="AH535" s="677" t="s">
        <v>616</v>
      </c>
      <c r="AI535" s="677" t="s">
        <v>617</v>
      </c>
      <c r="AJ535" s="284"/>
      <c r="AK535" s="44" t="s">
        <v>203</v>
      </c>
      <c r="AL535" s="44"/>
      <c r="AM535" s="65"/>
      <c r="AN535" s="293" t="s">
        <v>238</v>
      </c>
      <c r="AO535" s="44"/>
      <c r="AP535" s="65"/>
      <c r="AS535" s="455"/>
      <c r="AT535" s="84"/>
      <c r="AU535" s="94"/>
      <c r="AV535" s="85"/>
      <c r="AW535" s="85"/>
      <c r="AX535" s="186" t="s">
        <v>210</v>
      </c>
      <c r="AY535" s="85" t="s">
        <v>177</v>
      </c>
      <c r="AZ535" s="85">
        <f>$J$26</f>
        <v>0.5</v>
      </c>
      <c r="BA535" s="186"/>
      <c r="BB535" s="139"/>
      <c r="BC535" s="483"/>
    </row>
    <row r="536" spans="1:55" x14ac:dyDescent="0.25">
      <c r="A536" s="302"/>
      <c r="B536" s="77" t="s">
        <v>226</v>
      </c>
      <c r="C536" s="236">
        <f>C524*C525/24+C529+C532</f>
        <v>365</v>
      </c>
      <c r="E536" s="66" t="s">
        <v>233</v>
      </c>
      <c r="F536" s="305">
        <f>F529*C531*0.4</f>
        <v>10.172659813614263</v>
      </c>
      <c r="G536" s="247">
        <f>F529*C531*0.6</f>
        <v>15.258989720421393</v>
      </c>
      <c r="H536" s="286"/>
      <c r="I536" s="246" t="str">
        <f>INDEX($E$4:$N$19,MATCH(F525,$E$4:$E$19, 0),2)</f>
        <v>60 % dybstrøelsessystem - 40 % gyllesystem</v>
      </c>
      <c r="J536" s="246"/>
      <c r="K536" s="65"/>
      <c r="L536" s="85" t="s">
        <v>172</v>
      </c>
      <c r="M536" s="85">
        <f>INDEX($E$4:$N$19,MATCH(F523,$E$4:$E$19, 0),3)</f>
        <v>0.4</v>
      </c>
      <c r="N536" s="186"/>
      <c r="Q536" s="211" t="s">
        <v>372</v>
      </c>
      <c r="R536" s="44"/>
      <c r="S536" s="113">
        <f>_xlfn.AGGREGATE(9,6,F536:G536)</f>
        <v>25.431649534035657</v>
      </c>
      <c r="T536" s="44"/>
      <c r="U536" s="44"/>
      <c r="V536" s="65"/>
      <c r="W536" s="44"/>
      <c r="X536" s="44"/>
      <c r="Y536" s="65"/>
      <c r="Z536" s="139"/>
      <c r="AA536" s="302"/>
      <c r="AC536" s="483"/>
      <c r="AD536" s="77" t="s">
        <v>226</v>
      </c>
      <c r="AE536" s="236">
        <f>AE524*AE525/24+AE529+AE532</f>
        <v>365</v>
      </c>
      <c r="AG536" s="66" t="s">
        <v>233</v>
      </c>
      <c r="AH536" s="305">
        <f>AH529*AE531*0.4</f>
        <v>12.027841175141983</v>
      </c>
      <c r="AI536" s="247">
        <f>AH529*AE531*0.6</f>
        <v>18.041761762712973</v>
      </c>
      <c r="AJ536" s="286"/>
      <c r="AK536" s="246" t="str">
        <f>INDEX($E$4:$N$19,MATCH(AH525,$E$4:$E$19, 0),2)</f>
        <v>60 % dybstrøelsessystem - 40 % gyllesystem</v>
      </c>
      <c r="AL536" s="246"/>
      <c r="AM536" s="65"/>
      <c r="AN536" s="85" t="s">
        <v>172</v>
      </c>
      <c r="AO536" s="85">
        <f>INDEX($E$4:$N$19,MATCH(AH523,$E$4:$E$19, 0),3)</f>
        <v>0.4</v>
      </c>
      <c r="AP536" s="186"/>
      <c r="AS536" s="211" t="s">
        <v>372</v>
      </c>
      <c r="AT536" s="44"/>
      <c r="AU536" s="113">
        <f>_xlfn.AGGREGATE(9,6,AH536:AI536)</f>
        <v>30.069602937854956</v>
      </c>
      <c r="AV536" s="44"/>
      <c r="AW536" s="44"/>
      <c r="AX536" s="65"/>
      <c r="AY536" s="44"/>
      <c r="AZ536" s="44"/>
      <c r="BA536" s="65"/>
      <c r="BB536" s="139"/>
      <c r="BC536" s="483"/>
    </row>
    <row r="537" spans="1:55" x14ac:dyDescent="0.25">
      <c r="A537" s="302"/>
      <c r="B537" s="720"/>
      <c r="C537" s="245"/>
      <c r="E537" s="117" t="s">
        <v>102</v>
      </c>
      <c r="F537" s="305">
        <f>INDEX(Normtal!$Q$3:$AC$551,MATCH(F535,Normtal!$AA$3:$AA$551, 0),6)*C532/365</f>
        <v>0</v>
      </c>
      <c r="G537" s="305">
        <f>INDEX(Normtal!$Q$3:$AC$551,MATCH(G535,Normtal!$AA$3:$AA$551, 0),6)*C532/365</f>
        <v>3.6066562499999995</v>
      </c>
      <c r="H537" s="286"/>
      <c r="I537" s="44"/>
      <c r="J537" s="44"/>
      <c r="K537" s="251" t="s">
        <v>203</v>
      </c>
      <c r="L537" s="85"/>
      <c r="M537" s="85"/>
      <c r="N537" s="186"/>
      <c r="Q537" s="211" t="s">
        <v>244</v>
      </c>
      <c r="R537" s="85" t="s">
        <v>10</v>
      </c>
      <c r="S537" s="113">
        <f>_xlfn.AGGREGATE(9,6,F537:G537)</f>
        <v>3.6066562499999995</v>
      </c>
      <c r="T537" s="44"/>
      <c r="U537" s="44"/>
      <c r="V537" s="65"/>
      <c r="W537" s="85" t="s">
        <v>159</v>
      </c>
      <c r="X537" s="85">
        <f>$U$20</f>
        <v>0.01</v>
      </c>
      <c r="Y537" s="186"/>
      <c r="Z537" s="139"/>
      <c r="AA537" s="302"/>
      <c r="AC537" s="483"/>
      <c r="AD537" s="720"/>
      <c r="AE537" s="245"/>
      <c r="AG537" s="117" t="s">
        <v>102</v>
      </c>
      <c r="AH537" s="305">
        <f>INDEX(Normtal!$Q$3:$AC$551,MATCH(AH535,Normtal!$AA$3:$AA$551, 0),6)*AE532/365</f>
        <v>0</v>
      </c>
      <c r="AI537" s="305">
        <f>INDEX(Normtal!$Q$3:$AC$551,MATCH(AI535,Normtal!$AA$3:$AA$551, 0),6)*AE532/365</f>
        <v>2.9256575000000002</v>
      </c>
      <c r="AJ537" s="286"/>
      <c r="AK537" s="44"/>
      <c r="AL537" s="44"/>
      <c r="AM537" s="251" t="s">
        <v>203</v>
      </c>
      <c r="AN537" s="85"/>
      <c r="AO537" s="85"/>
      <c r="AP537" s="186"/>
      <c r="AS537" s="211" t="s">
        <v>244</v>
      </c>
      <c r="AT537" s="85" t="s">
        <v>10</v>
      </c>
      <c r="AU537" s="113">
        <f>_xlfn.AGGREGATE(9,6,AH537:AI537)</f>
        <v>2.9256575000000002</v>
      </c>
      <c r="AV537" s="44"/>
      <c r="AW537" s="44"/>
      <c r="AX537" s="65"/>
      <c r="AY537" s="85" t="s">
        <v>159</v>
      </c>
      <c r="AZ537" s="85">
        <f>$U$20</f>
        <v>0.01</v>
      </c>
      <c r="BA537" s="186"/>
      <c r="BB537" s="139"/>
      <c r="BC537" s="483"/>
    </row>
    <row r="538" spans="1:55" x14ac:dyDescent="0.25">
      <c r="A538" s="302"/>
      <c r="B538" s="720"/>
      <c r="C538" s="245"/>
      <c r="E538" s="66" t="s">
        <v>234</v>
      </c>
      <c r="F538" s="307">
        <f>INDEX(Normtal!$Q$3:$AC$551,MATCH(F535,Normtal!$AA$3:$AA$551, 0),4)*C532/365</f>
        <v>6.7529145996758499</v>
      </c>
      <c r="G538" s="283"/>
      <c r="H538" s="285">
        <f>H529*C531*0.4</f>
        <v>6.7529145996758508</v>
      </c>
      <c r="I538" s="44"/>
      <c r="J538" s="44"/>
      <c r="K538" s="65"/>
      <c r="L538" s="85" t="s">
        <v>195</v>
      </c>
      <c r="M538" s="85"/>
      <c r="N538" s="201">
        <f>INDEX($E$4:$N$19,MATCH(F523,$E$4:$E$19, 0),7)</f>
        <v>0.21</v>
      </c>
      <c r="Q538" s="211" t="s">
        <v>368</v>
      </c>
      <c r="R538" s="85" t="s">
        <v>10</v>
      </c>
      <c r="S538" s="300">
        <f>-_xlfn.AGGREGATE(9,6,G554:G555)</f>
        <v>-0.19998513870644247</v>
      </c>
      <c r="T538" s="44"/>
      <c r="U538" s="44"/>
      <c r="V538" s="65"/>
      <c r="W538" s="44"/>
      <c r="X538" s="44"/>
      <c r="Y538" s="186"/>
      <c r="Z538" s="139"/>
      <c r="AA538" s="302"/>
      <c r="AC538" s="483"/>
      <c r="AD538" s="720"/>
      <c r="AE538" s="245"/>
      <c r="AG538" s="66" t="s">
        <v>234</v>
      </c>
      <c r="AH538" s="307">
        <f>INDEX(Normtal!$Q$3:$AC$551,MATCH(AH535,Normtal!$AA$3:$AA$551, 0),4)*AE532/365</f>
        <v>7.9096129466966287</v>
      </c>
      <c r="AI538" s="283"/>
      <c r="AJ538" s="285">
        <f>AJ529*AE531*0.4</f>
        <v>7.9096129466966296</v>
      </c>
      <c r="AK538" s="44"/>
      <c r="AL538" s="44"/>
      <c r="AM538" s="65"/>
      <c r="AN538" s="85" t="s">
        <v>195</v>
      </c>
      <c r="AO538" s="85"/>
      <c r="AP538" s="201">
        <f>INDEX($E$4:$N$19,MATCH(AH523,$E$4:$E$19, 0),7)</f>
        <v>0.21</v>
      </c>
      <c r="AS538" s="211" t="s">
        <v>368</v>
      </c>
      <c r="AT538" s="85" t="s">
        <v>10</v>
      </c>
      <c r="AU538" s="300">
        <f>-_xlfn.AGGREGATE(9,6,AI554:AI555)</f>
        <v>-0.22846369147741369</v>
      </c>
      <c r="AV538" s="44"/>
      <c r="AW538" s="44"/>
      <c r="AX538" s="65"/>
      <c r="AY538" s="44"/>
      <c r="AZ538" s="44"/>
      <c r="BA538" s="186"/>
      <c r="BB538" s="139"/>
      <c r="BC538" s="483"/>
    </row>
    <row r="539" spans="1:55" x14ac:dyDescent="0.25">
      <c r="A539" s="302"/>
      <c r="E539" s="66"/>
      <c r="F539" s="290"/>
      <c r="G539" s="290"/>
      <c r="H539" s="292"/>
      <c r="I539" s="44"/>
      <c r="J539" s="44"/>
      <c r="K539" s="251" t="s">
        <v>203</v>
      </c>
      <c r="L539" s="85"/>
      <c r="M539" s="85"/>
      <c r="N539" s="186"/>
      <c r="Q539" s="211" t="s">
        <v>366</v>
      </c>
      <c r="R539" s="85" t="s">
        <v>10</v>
      </c>
      <c r="S539" s="300">
        <f>-_xlfn.AGGREGATE(9,6,G556:G557)</f>
        <v>-1.8271828541815234</v>
      </c>
      <c r="T539" s="44"/>
      <c r="U539" s="44"/>
      <c r="V539" s="65"/>
      <c r="Y539" s="65"/>
      <c r="Z539" s="139"/>
      <c r="AA539" s="302"/>
      <c r="AC539" s="483"/>
      <c r="AG539" s="66"/>
      <c r="AH539" s="290"/>
      <c r="AI539" s="290"/>
      <c r="AJ539" s="292"/>
      <c r="AK539" s="44"/>
      <c r="AL539" s="44"/>
      <c r="AM539" s="251" t="s">
        <v>203</v>
      </c>
      <c r="AN539" s="85"/>
      <c r="AO539" s="85"/>
      <c r="AP539" s="186"/>
      <c r="AS539" s="211" t="s">
        <v>366</v>
      </c>
      <c r="AT539" s="85" t="s">
        <v>10</v>
      </c>
      <c r="AU539" s="300">
        <f>-_xlfn.AGGREGATE(9,6,AI556:AI557)</f>
        <v>-2.1503034535668233</v>
      </c>
      <c r="AV539" s="44"/>
      <c r="AW539" s="44"/>
      <c r="AX539" s="65"/>
      <c r="BA539" s="65"/>
      <c r="BB539" s="139"/>
      <c r="BC539" s="483"/>
    </row>
    <row r="540" spans="1:55" x14ac:dyDescent="0.25">
      <c r="A540" s="302"/>
      <c r="E540" s="96" t="s">
        <v>134</v>
      </c>
      <c r="F540" s="176">
        <f>_xlfn.AGGREGATE(9,6,F533,F538)</f>
        <v>12.380343432739059</v>
      </c>
      <c r="G540" s="288"/>
      <c r="H540" s="266">
        <f>_xlfn.AGGREGATE(9,6,H533,H538)</f>
        <v>12.38034343273906</v>
      </c>
      <c r="I540" s="44"/>
      <c r="J540" s="44"/>
      <c r="K540" s="65"/>
      <c r="L540" s="85"/>
      <c r="M540" s="85"/>
      <c r="N540" s="186"/>
      <c r="Q540" s="66"/>
      <c r="R540" s="44"/>
      <c r="S540" s="44"/>
      <c r="T540" s="301"/>
      <c r="U540" s="44"/>
      <c r="V540" s="65"/>
      <c r="W540" s="24"/>
      <c r="X540" s="24"/>
      <c r="Y540" s="120"/>
      <c r="Z540" s="48"/>
      <c r="AA540" s="302"/>
      <c r="AC540" s="483"/>
      <c r="AG540" s="96" t="s">
        <v>134</v>
      </c>
      <c r="AH540" s="176">
        <f>_xlfn.AGGREGATE(9,6,AH533,AH538)</f>
        <v>12.250254197932584</v>
      </c>
      <c r="AI540" s="288"/>
      <c r="AJ540" s="266">
        <f>_xlfn.AGGREGATE(9,6,AJ533,AJ538)</f>
        <v>12.250254197932584</v>
      </c>
      <c r="AK540" s="44"/>
      <c r="AL540" s="44"/>
      <c r="AM540" s="65"/>
      <c r="AN540" s="85"/>
      <c r="AO540" s="85"/>
      <c r="AP540" s="186"/>
      <c r="AS540" s="66"/>
      <c r="AT540" s="44"/>
      <c r="AU540" s="44"/>
      <c r="AV540" s="301"/>
      <c r="AW540" s="44"/>
      <c r="AX540" s="65"/>
      <c r="AY540" s="24"/>
      <c r="AZ540" s="24"/>
      <c r="BA540" s="120"/>
      <c r="BB540" s="48"/>
      <c r="BC540" s="483"/>
    </row>
    <row r="541" spans="1:55" x14ac:dyDescent="0.25">
      <c r="A541" s="302"/>
      <c r="E541" s="66"/>
      <c r="F541" s="44"/>
      <c r="G541" s="44"/>
      <c r="H541" s="44"/>
      <c r="I541" s="44"/>
      <c r="J541" s="44"/>
      <c r="K541" s="65"/>
      <c r="L541" s="85"/>
      <c r="M541" s="85"/>
      <c r="N541" s="186"/>
      <c r="Q541" s="96" t="s">
        <v>369</v>
      </c>
      <c r="R541" s="85" t="s">
        <v>10</v>
      </c>
      <c r="S541" s="198">
        <f>SUM(S531:S534)</f>
        <v>7.8166702483589958</v>
      </c>
      <c r="W541" s="44"/>
      <c r="X541" s="44"/>
      <c r="Y541" s="44"/>
      <c r="Z541" s="48"/>
      <c r="AA541" s="302"/>
      <c r="AC541" s="483"/>
      <c r="AG541" s="66"/>
      <c r="AH541" s="44"/>
      <c r="AI541" s="44"/>
      <c r="AJ541" s="44"/>
      <c r="AK541" s="44"/>
      <c r="AL541" s="44"/>
      <c r="AM541" s="65"/>
      <c r="AN541" s="85"/>
      <c r="AO541" s="85"/>
      <c r="AP541" s="186"/>
      <c r="AS541" s="96" t="s">
        <v>369</v>
      </c>
      <c r="AT541" s="85" t="s">
        <v>10</v>
      </c>
      <c r="AU541" s="198">
        <f>SUM(AU531:AU534)</f>
        <v>6.0571899993224907</v>
      </c>
      <c r="AY541" s="44"/>
      <c r="AZ541" s="44"/>
      <c r="BA541" s="44"/>
      <c r="BB541" s="48"/>
      <c r="BC541" s="483"/>
    </row>
    <row r="542" spans="1:55" x14ac:dyDescent="0.25">
      <c r="A542" s="302"/>
      <c r="E542" s="96" t="s">
        <v>84</v>
      </c>
      <c r="F542" s="85"/>
      <c r="G542" s="85"/>
      <c r="H542" s="44"/>
      <c r="I542" s="85"/>
      <c r="J542" s="44"/>
      <c r="K542" s="251" t="s">
        <v>203</v>
      </c>
      <c r="L542" s="85" t="str">
        <f>$T$20</f>
        <v>EF4</v>
      </c>
      <c r="M542" s="85">
        <f>$U$20</f>
        <v>0.01</v>
      </c>
      <c r="N542" s="186"/>
      <c r="Q542" s="310" t="s">
        <v>563</v>
      </c>
      <c r="R542" s="84" t="s">
        <v>10</v>
      </c>
      <c r="S542" s="457">
        <f>F533-G551</f>
        <v>4.8677259405996756</v>
      </c>
      <c r="U542" s="44"/>
      <c r="V542" s="65"/>
      <c r="W542" s="44"/>
      <c r="X542" s="44"/>
      <c r="Y542" s="44"/>
      <c r="Z542" s="48"/>
      <c r="AA542" s="302"/>
      <c r="AC542" s="483"/>
      <c r="AG542" s="96" t="s">
        <v>84</v>
      </c>
      <c r="AH542" s="85"/>
      <c r="AI542" s="85"/>
      <c r="AJ542" s="44"/>
      <c r="AK542" s="85"/>
      <c r="AL542" s="44"/>
      <c r="AM542" s="251" t="s">
        <v>203</v>
      </c>
      <c r="AN542" s="85" t="str">
        <f>$T$20</f>
        <v>EF4</v>
      </c>
      <c r="AO542" s="85">
        <f>$U$20</f>
        <v>0.01</v>
      </c>
      <c r="AP542" s="186"/>
      <c r="AS542" s="310" t="s">
        <v>563</v>
      </c>
      <c r="AT542" s="84" t="s">
        <v>10</v>
      </c>
      <c r="AU542" s="457">
        <f>AH533-AI551</f>
        <v>3.7546546823191007</v>
      </c>
      <c r="AW542" s="44"/>
      <c r="AX542" s="65"/>
      <c r="AY542" s="44"/>
      <c r="AZ542" s="44"/>
      <c r="BA542" s="44"/>
      <c r="BB542" s="48"/>
      <c r="BC542" s="483"/>
    </row>
    <row r="543" spans="1:55" x14ac:dyDescent="0.25">
      <c r="A543" s="302"/>
      <c r="E543" s="96" t="s">
        <v>105</v>
      </c>
      <c r="F543" s="85" t="s">
        <v>10</v>
      </c>
      <c r="G543" s="176">
        <f>(F528)*M536/100</f>
        <v>0</v>
      </c>
      <c r="H543" s="44"/>
      <c r="I543" s="85" t="s">
        <v>85</v>
      </c>
      <c r="J543" s="114" t="s">
        <v>86</v>
      </c>
      <c r="K543" s="252" t="s">
        <v>203</v>
      </c>
      <c r="L543" s="85" t="str">
        <f>$T$21</f>
        <v>[leaching/ runoff]</v>
      </c>
      <c r="M543" s="85">
        <f>$U$21</f>
        <v>0</v>
      </c>
      <c r="N543" s="186"/>
      <c r="Q543" s="96" t="s">
        <v>370</v>
      </c>
      <c r="R543" s="85" t="s">
        <v>10</v>
      </c>
      <c r="S543" s="198">
        <f>SUM(S536:S539)</f>
        <v>27.011137791147693</v>
      </c>
      <c r="W543" s="44"/>
      <c r="X543" s="44"/>
      <c r="Y543" s="44"/>
      <c r="Z543" s="48"/>
      <c r="AA543" s="302"/>
      <c r="AC543" s="483"/>
      <c r="AG543" s="96" t="s">
        <v>105</v>
      </c>
      <c r="AH543" s="85" t="s">
        <v>10</v>
      </c>
      <c r="AI543" s="176">
        <f>(AH528)*AO536/100</f>
        <v>0</v>
      </c>
      <c r="AJ543" s="44"/>
      <c r="AK543" s="85" t="s">
        <v>85</v>
      </c>
      <c r="AL543" s="114" t="s">
        <v>86</v>
      </c>
      <c r="AM543" s="252" t="s">
        <v>203</v>
      </c>
      <c r="AN543" s="85" t="str">
        <f>$T$21</f>
        <v>[leaching/ runoff]</v>
      </c>
      <c r="AO543" s="85">
        <f>$U$21</f>
        <v>0</v>
      </c>
      <c r="AP543" s="186"/>
      <c r="AS543" s="96" t="s">
        <v>370</v>
      </c>
      <c r="AT543" s="85" t="s">
        <v>10</v>
      </c>
      <c r="AU543" s="198">
        <f>SUM(AU536:AU539)</f>
        <v>30.61649329281072</v>
      </c>
      <c r="AY543" s="44"/>
      <c r="AZ543" s="44"/>
      <c r="BA543" s="44"/>
      <c r="BB543" s="48"/>
      <c r="BC543" s="483"/>
    </row>
    <row r="544" spans="1:55" x14ac:dyDescent="0.25">
      <c r="A544" s="302"/>
      <c r="E544" s="96" t="s">
        <v>106</v>
      </c>
      <c r="F544" s="85" t="s">
        <v>10</v>
      </c>
      <c r="G544" s="198">
        <f>(F528)*N538/100</f>
        <v>0</v>
      </c>
      <c r="H544" s="44"/>
      <c r="I544" s="85" t="s">
        <v>87</v>
      </c>
      <c r="J544" s="114" t="s">
        <v>88</v>
      </c>
      <c r="K544" s="252" t="s">
        <v>203</v>
      </c>
      <c r="L544" s="85" t="str">
        <f>$T$22</f>
        <v>EF5</v>
      </c>
      <c r="M544" s="85">
        <f>$U$22</f>
        <v>1.0999999999999999E-2</v>
      </c>
      <c r="N544" s="186"/>
      <c r="T544" s="44"/>
      <c r="U544" s="44"/>
      <c r="V544" s="65"/>
      <c r="W544" s="85"/>
      <c r="X544" s="85"/>
      <c r="Y544" s="85"/>
      <c r="Z544" s="48"/>
      <c r="AA544" s="302"/>
      <c r="AC544" s="483"/>
      <c r="AG544" s="96" t="s">
        <v>106</v>
      </c>
      <c r="AH544" s="85" t="s">
        <v>10</v>
      </c>
      <c r="AI544" s="198">
        <f>(AH528)*AP538/100</f>
        <v>0</v>
      </c>
      <c r="AJ544" s="44"/>
      <c r="AK544" s="85" t="s">
        <v>87</v>
      </c>
      <c r="AL544" s="114" t="s">
        <v>88</v>
      </c>
      <c r="AM544" s="252" t="s">
        <v>203</v>
      </c>
      <c r="AN544" s="85" t="str">
        <f>$T$22</f>
        <v>EF5</v>
      </c>
      <c r="AO544" s="85">
        <f>$U$22</f>
        <v>1.0999999999999999E-2</v>
      </c>
      <c r="AP544" s="186"/>
      <c r="AV544" s="44"/>
      <c r="AW544" s="44"/>
      <c r="AX544" s="65"/>
      <c r="AY544" s="85"/>
      <c r="AZ544" s="85"/>
      <c r="BA544" s="85"/>
      <c r="BB544" s="48"/>
      <c r="BC544" s="483"/>
    </row>
    <row r="545" spans="1:55" x14ac:dyDescent="0.25">
      <c r="A545" s="302"/>
      <c r="E545" s="96" t="s">
        <v>200</v>
      </c>
      <c r="F545" s="85" t="s">
        <v>10</v>
      </c>
      <c r="G545" s="198">
        <f>F528*M545/100</f>
        <v>0</v>
      </c>
      <c r="H545" s="44"/>
      <c r="I545" s="85" t="s">
        <v>201</v>
      </c>
      <c r="J545" s="44"/>
      <c r="K545" s="251" t="s">
        <v>203</v>
      </c>
      <c r="L545" s="85" t="str">
        <f>$T$23</f>
        <v>FracLEACH</v>
      </c>
      <c r="M545" s="85">
        <f>$U$23</f>
        <v>0.24</v>
      </c>
      <c r="N545" s="186"/>
      <c r="Q545" s="96" t="s">
        <v>136</v>
      </c>
      <c r="R545" s="85"/>
      <c r="S545" s="85"/>
      <c r="T545" s="85"/>
      <c r="U545" s="85"/>
      <c r="V545" s="186" t="s">
        <v>210</v>
      </c>
      <c r="W545" s="44"/>
      <c r="X545" s="44"/>
      <c r="Y545" s="44"/>
      <c r="Z545" s="48"/>
      <c r="AA545" s="302"/>
      <c r="AC545" s="483"/>
      <c r="AG545" s="96" t="s">
        <v>200</v>
      </c>
      <c r="AH545" s="85" t="s">
        <v>10</v>
      </c>
      <c r="AI545" s="198">
        <f>AH528*AO545/100</f>
        <v>0</v>
      </c>
      <c r="AJ545" s="44"/>
      <c r="AK545" s="85" t="s">
        <v>201</v>
      </c>
      <c r="AL545" s="44"/>
      <c r="AM545" s="251" t="s">
        <v>203</v>
      </c>
      <c r="AN545" s="85" t="str">
        <f>$T$23</f>
        <v>FracLEACH</v>
      </c>
      <c r="AO545" s="85">
        <f>$U$23</f>
        <v>0.24</v>
      </c>
      <c r="AP545" s="186"/>
      <c r="AS545" s="96" t="s">
        <v>136</v>
      </c>
      <c r="AT545" s="85"/>
      <c r="AU545" s="85"/>
      <c r="AV545" s="85"/>
      <c r="AW545" s="85"/>
      <c r="AX545" s="186" t="s">
        <v>210</v>
      </c>
      <c r="AY545" s="44"/>
      <c r="AZ545" s="44"/>
      <c r="BA545" s="44"/>
      <c r="BB545" s="48"/>
      <c r="BC545" s="483"/>
    </row>
    <row r="546" spans="1:55" x14ac:dyDescent="0.25">
      <c r="A546" s="302"/>
      <c r="E546" s="66"/>
      <c r="F546" s="85"/>
      <c r="G546" s="176"/>
      <c r="H546" s="44"/>
      <c r="I546" s="85"/>
      <c r="J546" s="44"/>
      <c r="K546" s="251" t="s">
        <v>203</v>
      </c>
      <c r="L546" s="24"/>
      <c r="M546" s="24"/>
      <c r="N546" s="196"/>
      <c r="Q546" s="96" t="s">
        <v>375</v>
      </c>
      <c r="R546" s="85" t="s">
        <v>10</v>
      </c>
      <c r="S546" s="176">
        <f>(S541*X525/100)</f>
        <v>3.9083351241794982E-2</v>
      </c>
      <c r="T546" s="212" t="s">
        <v>561</v>
      </c>
      <c r="U546" s="212" t="s">
        <v>379</v>
      </c>
      <c r="V546" s="186" t="s">
        <v>210</v>
      </c>
      <c r="W546" s="44"/>
      <c r="X546" s="44"/>
      <c r="Y546" s="44"/>
      <c r="Z546" s="44"/>
      <c r="AA546" s="302"/>
      <c r="AC546" s="483"/>
      <c r="AG546" s="66"/>
      <c r="AH546" s="85"/>
      <c r="AI546" s="176"/>
      <c r="AJ546" s="44"/>
      <c r="AK546" s="85"/>
      <c r="AL546" s="44"/>
      <c r="AM546" s="251" t="s">
        <v>203</v>
      </c>
      <c r="AN546" s="24"/>
      <c r="AO546" s="24"/>
      <c r="AP546" s="196"/>
      <c r="AS546" s="96" t="s">
        <v>375</v>
      </c>
      <c r="AT546" s="85" t="s">
        <v>10</v>
      </c>
      <c r="AU546" s="176">
        <f>(AU541*AZ525/100)</f>
        <v>3.0285949996612452E-2</v>
      </c>
      <c r="AV546" s="212" t="s">
        <v>561</v>
      </c>
      <c r="AW546" s="212" t="s">
        <v>379</v>
      </c>
      <c r="AX546" s="186" t="s">
        <v>210</v>
      </c>
      <c r="AY546" s="44"/>
      <c r="AZ546" s="44"/>
      <c r="BA546" s="44"/>
      <c r="BB546" s="44"/>
      <c r="BC546" s="483"/>
    </row>
    <row r="547" spans="1:55" x14ac:dyDescent="0.25">
      <c r="A547" s="302"/>
      <c r="E547" s="96" t="s">
        <v>89</v>
      </c>
      <c r="F547" s="85"/>
      <c r="G547" s="176"/>
      <c r="H547" s="44"/>
      <c r="I547" s="85"/>
      <c r="J547" s="44"/>
      <c r="K547" s="251"/>
      <c r="L547" s="85"/>
      <c r="M547" s="85"/>
      <c r="N547" s="85"/>
      <c r="O547" s="44"/>
      <c r="Q547" s="96" t="s">
        <v>373</v>
      </c>
      <c r="R547" s="85" t="s">
        <v>10</v>
      </c>
      <c r="S547" s="176">
        <f>(S543*Y530/100)*0.35</f>
        <v>9.4538982269016927E-2</v>
      </c>
      <c r="T547" s="212" t="s">
        <v>141</v>
      </c>
      <c r="U547" s="212" t="s">
        <v>143</v>
      </c>
      <c r="V547" s="184" t="s">
        <v>210</v>
      </c>
      <c r="W547" s="85"/>
      <c r="X547" s="85"/>
      <c r="Y547" s="85"/>
      <c r="Z547" s="44"/>
      <c r="AA547" s="302"/>
      <c r="AC547" s="483"/>
      <c r="AG547" s="96" t="s">
        <v>89</v>
      </c>
      <c r="AH547" s="85"/>
      <c r="AI547" s="176"/>
      <c r="AJ547" s="44"/>
      <c r="AK547" s="85"/>
      <c r="AL547" s="44"/>
      <c r="AM547" s="251"/>
      <c r="AN547" s="85"/>
      <c r="AO547" s="85"/>
      <c r="AP547" s="85"/>
      <c r="AQ547" s="44"/>
      <c r="AS547" s="96" t="s">
        <v>373</v>
      </c>
      <c r="AT547" s="85" t="s">
        <v>10</v>
      </c>
      <c r="AU547" s="176">
        <f>(AU543*BA530/100)*0.35</f>
        <v>0.10715772652483752</v>
      </c>
      <c r="AV547" s="212" t="s">
        <v>141</v>
      </c>
      <c r="AW547" s="212" t="s">
        <v>143</v>
      </c>
      <c r="AX547" s="184" t="s">
        <v>210</v>
      </c>
      <c r="AY547" s="85"/>
      <c r="AZ547" s="85"/>
      <c r="BA547" s="85"/>
      <c r="BB547" s="44"/>
      <c r="BC547" s="483"/>
    </row>
    <row r="548" spans="1:55" x14ac:dyDescent="0.25">
      <c r="A548" s="302"/>
      <c r="E548" s="97" t="s">
        <v>236</v>
      </c>
      <c r="F548" s="85"/>
      <c r="G548" s="176"/>
      <c r="H548" s="44"/>
      <c r="I548" s="85"/>
      <c r="J548" s="116"/>
      <c r="K548" s="252"/>
      <c r="L548" s="85"/>
      <c r="M548" s="85"/>
      <c r="N548" s="85"/>
      <c r="O548" s="44"/>
      <c r="Q548" s="97" t="s">
        <v>376</v>
      </c>
      <c r="R548" s="84" t="s">
        <v>10</v>
      </c>
      <c r="S548" s="456">
        <f>S542*X526/100</f>
        <v>0.16550268198038898</v>
      </c>
      <c r="T548" s="458" t="s">
        <v>562</v>
      </c>
      <c r="U548" s="212" t="s">
        <v>380</v>
      </c>
      <c r="V548" s="184" t="s">
        <v>210</v>
      </c>
      <c r="W548" s="85"/>
      <c r="X548" s="85"/>
      <c r="Y548" s="85"/>
      <c r="Z548" s="44"/>
      <c r="AA548" s="302"/>
      <c r="AC548" s="483"/>
      <c r="AG548" s="97" t="s">
        <v>236</v>
      </c>
      <c r="AH548" s="85"/>
      <c r="AI548" s="176"/>
      <c r="AJ548" s="44"/>
      <c r="AK548" s="85"/>
      <c r="AL548" s="116"/>
      <c r="AM548" s="252"/>
      <c r="AN548" s="85"/>
      <c r="AO548" s="85"/>
      <c r="AP548" s="85"/>
      <c r="AQ548" s="44"/>
      <c r="AS548" s="97" t="s">
        <v>376</v>
      </c>
      <c r="AT548" s="84" t="s">
        <v>10</v>
      </c>
      <c r="AU548" s="456">
        <f>AU542*AZ526/100</f>
        <v>0.12765825919884943</v>
      </c>
      <c r="AV548" s="458" t="s">
        <v>562</v>
      </c>
      <c r="AW548" s="212" t="s">
        <v>380</v>
      </c>
      <c r="AX548" s="184" t="s">
        <v>210</v>
      </c>
      <c r="AY548" s="85"/>
      <c r="AZ548" s="85"/>
      <c r="BA548" s="85"/>
      <c r="BB548" s="44"/>
      <c r="BC548" s="483"/>
    </row>
    <row r="549" spans="1:55" x14ac:dyDescent="0.25">
      <c r="A549" s="302"/>
      <c r="E549" s="97" t="s">
        <v>107</v>
      </c>
      <c r="F549" s="85" t="s">
        <v>10</v>
      </c>
      <c r="G549" s="282">
        <f>(F531+F532)*M525/100</f>
        <v>1.718712052269044E-2</v>
      </c>
      <c r="H549" s="44"/>
      <c r="I549" s="85"/>
      <c r="J549" s="116"/>
      <c r="K549" s="252"/>
      <c r="L549" s="85"/>
      <c r="M549" s="85"/>
      <c r="N549" s="85"/>
      <c r="O549" s="44"/>
      <c r="Q549" s="97" t="s">
        <v>544</v>
      </c>
      <c r="R549" s="84" t="s">
        <v>10</v>
      </c>
      <c r="S549" s="432">
        <f>S542*X526/100*(1+X528*C534)</f>
        <v>0.16550268198038898</v>
      </c>
      <c r="T549" s="458" t="s">
        <v>565</v>
      </c>
      <c r="U549" s="212" t="s">
        <v>380</v>
      </c>
      <c r="V549" s="184" t="s">
        <v>210</v>
      </c>
      <c r="W549" s="44"/>
      <c r="X549" s="44"/>
      <c r="Y549" s="44"/>
      <c r="Z549" s="44"/>
      <c r="AA549" s="302"/>
      <c r="AC549" s="483"/>
      <c r="AG549" s="97" t="s">
        <v>107</v>
      </c>
      <c r="AH549" s="85" t="s">
        <v>10</v>
      </c>
      <c r="AI549" s="282">
        <f>(AH531+AH532)*AO525/100</f>
        <v>1.3312979094668028E-2</v>
      </c>
      <c r="AJ549" s="44"/>
      <c r="AK549" s="85"/>
      <c r="AL549" s="116"/>
      <c r="AM549" s="252"/>
      <c r="AN549" s="85"/>
      <c r="AO549" s="85"/>
      <c r="AP549" s="85"/>
      <c r="AQ549" s="44"/>
      <c r="AS549" s="97" t="s">
        <v>544</v>
      </c>
      <c r="AT549" s="84" t="s">
        <v>10</v>
      </c>
      <c r="AU549" s="432">
        <f>AU542*AZ526/100*(1+AZ528*AE534)</f>
        <v>0.12765825919884943</v>
      </c>
      <c r="AV549" s="458" t="s">
        <v>565</v>
      </c>
      <c r="AW549" s="212" t="s">
        <v>380</v>
      </c>
      <c r="AX549" s="184" t="s">
        <v>210</v>
      </c>
      <c r="AY549" s="44"/>
      <c r="AZ549" s="44"/>
      <c r="BA549" s="44"/>
      <c r="BB549" s="44"/>
      <c r="BC549" s="483"/>
    </row>
    <row r="550" spans="1:55" x14ac:dyDescent="0.25">
      <c r="A550" s="302"/>
      <c r="E550" s="97" t="s">
        <v>108</v>
      </c>
      <c r="F550" s="85" t="s">
        <v>10</v>
      </c>
      <c r="G550" s="282">
        <f>(G531+G532)*N525/100</f>
        <v>0</v>
      </c>
      <c r="H550" s="44"/>
      <c r="I550" s="85"/>
      <c r="J550" s="116"/>
      <c r="K550" s="252"/>
      <c r="L550" s="85"/>
      <c r="M550" s="85"/>
      <c r="N550" s="85"/>
      <c r="O550" s="44"/>
      <c r="Q550" s="96" t="s">
        <v>374</v>
      </c>
      <c r="R550" s="85" t="s">
        <v>10</v>
      </c>
      <c r="S550" s="198">
        <f>(S543*Y532/100)*0.35</f>
        <v>0.2836169468070508</v>
      </c>
      <c r="T550" s="212" t="s">
        <v>142</v>
      </c>
      <c r="U550" s="212" t="s">
        <v>144</v>
      </c>
      <c r="V550" s="184" t="s">
        <v>210</v>
      </c>
      <c r="W550" s="44"/>
      <c r="X550" s="44"/>
      <c r="Y550" s="44"/>
      <c r="Z550" s="44"/>
      <c r="AA550" s="302"/>
      <c r="AC550" s="483"/>
      <c r="AG550" s="97" t="s">
        <v>108</v>
      </c>
      <c r="AH550" s="85" t="s">
        <v>10</v>
      </c>
      <c r="AI550" s="282">
        <f>(AI531+AI532)*AP525/100</f>
        <v>0</v>
      </c>
      <c r="AJ550" s="44"/>
      <c r="AK550" s="85"/>
      <c r="AL550" s="116"/>
      <c r="AM550" s="252"/>
      <c r="AN550" s="85"/>
      <c r="AO550" s="85"/>
      <c r="AP550" s="85"/>
      <c r="AQ550" s="44"/>
      <c r="AS550" s="96" t="s">
        <v>374</v>
      </c>
      <c r="AT550" s="85" t="s">
        <v>10</v>
      </c>
      <c r="AU550" s="198">
        <f>(AU543*BA532/100)*0.35</f>
        <v>0.32147317957451255</v>
      </c>
      <c r="AV550" s="212" t="s">
        <v>142</v>
      </c>
      <c r="AW550" s="212" t="s">
        <v>144</v>
      </c>
      <c r="AX550" s="184" t="s">
        <v>210</v>
      </c>
      <c r="AY550" s="44"/>
      <c r="AZ550" s="44"/>
      <c r="BA550" s="44"/>
      <c r="BB550" s="44"/>
      <c r="BC550" s="483"/>
    </row>
    <row r="551" spans="1:55" x14ac:dyDescent="0.25">
      <c r="A551" s="302"/>
      <c r="E551" s="97" t="s">
        <v>109</v>
      </c>
      <c r="F551" s="85" t="s">
        <v>10</v>
      </c>
      <c r="G551" s="197">
        <f>F533*M527/100</f>
        <v>0.75970289246353317</v>
      </c>
      <c r="H551" s="44"/>
      <c r="I551" s="85"/>
      <c r="J551" s="116"/>
      <c r="K551" s="252"/>
      <c r="L551" s="85"/>
      <c r="M551" s="85"/>
      <c r="N551" s="85"/>
      <c r="O551" s="44"/>
      <c r="Q551" s="97" t="s">
        <v>383</v>
      </c>
      <c r="R551" s="85"/>
      <c r="S551" s="85"/>
      <c r="T551" s="85"/>
      <c r="U551" s="85"/>
      <c r="V551" s="186" t="s">
        <v>210</v>
      </c>
      <c r="W551" s="44"/>
      <c r="X551" s="44"/>
      <c r="Y551" s="44"/>
      <c r="Z551" s="44"/>
      <c r="AA551" s="302"/>
      <c r="AC551" s="483"/>
      <c r="AG551" s="97" t="s">
        <v>109</v>
      </c>
      <c r="AH551" s="85" t="s">
        <v>10</v>
      </c>
      <c r="AI551" s="197">
        <f>AH533*AO527/100</f>
        <v>0.58598656891685386</v>
      </c>
      <c r="AJ551" s="44"/>
      <c r="AK551" s="85"/>
      <c r="AL551" s="116"/>
      <c r="AM551" s="252"/>
      <c r="AN551" s="85"/>
      <c r="AO551" s="85"/>
      <c r="AP551" s="85"/>
      <c r="AQ551" s="44"/>
      <c r="AS551" s="97" t="s">
        <v>383</v>
      </c>
      <c r="AT551" s="85"/>
      <c r="AU551" s="85"/>
      <c r="AV551" s="85"/>
      <c r="AW551" s="85"/>
      <c r="AX551" s="186" t="s">
        <v>210</v>
      </c>
      <c r="AY551" s="44"/>
      <c r="AZ551" s="44"/>
      <c r="BA551" s="44"/>
      <c r="BB551" s="44"/>
      <c r="BC551" s="483"/>
    </row>
    <row r="552" spans="1:55" x14ac:dyDescent="0.25">
      <c r="A552" s="302"/>
      <c r="E552" s="97" t="s">
        <v>110</v>
      </c>
      <c r="F552" s="85" t="s">
        <v>10</v>
      </c>
      <c r="G552" s="197">
        <f>(G531)*N526/100</f>
        <v>0</v>
      </c>
      <c r="H552" s="44"/>
      <c r="I552" s="85"/>
      <c r="J552" s="116"/>
      <c r="K552" s="252"/>
      <c r="L552" s="85"/>
      <c r="M552" s="85"/>
      <c r="N552" s="85"/>
      <c r="O552" s="44"/>
      <c r="Q552" s="96" t="s">
        <v>12</v>
      </c>
      <c r="R552" s="84" t="s">
        <v>13</v>
      </c>
      <c r="S552" s="182">
        <f>SUM(S546:S547)*(44/28)*$U$13</f>
        <v>57.32398107613831</v>
      </c>
      <c r="T552" s="85"/>
      <c r="U552" s="85"/>
      <c r="V552" s="186" t="s">
        <v>210</v>
      </c>
      <c r="AA552" s="302"/>
      <c r="AC552" s="483"/>
      <c r="AG552" s="97" t="s">
        <v>110</v>
      </c>
      <c r="AH552" s="85" t="s">
        <v>10</v>
      </c>
      <c r="AI552" s="197">
        <f>(AI531)*AP526/100</f>
        <v>0</v>
      </c>
      <c r="AJ552" s="44"/>
      <c r="AK552" s="85"/>
      <c r="AL552" s="116"/>
      <c r="AM552" s="252"/>
      <c r="AN552" s="85"/>
      <c r="AO552" s="85"/>
      <c r="AP552" s="85"/>
      <c r="AQ552" s="44"/>
      <c r="AS552" s="96" t="s">
        <v>12</v>
      </c>
      <c r="AT552" s="84" t="s">
        <v>13</v>
      </c>
      <c r="AU552" s="182">
        <f>SUM(AU546:AU547)*(44/28)*$U$13</f>
        <v>58.963337227702034</v>
      </c>
      <c r="AV552" s="85"/>
      <c r="AW552" s="85"/>
      <c r="AX552" s="186" t="s">
        <v>210</v>
      </c>
      <c r="BC552" s="483"/>
    </row>
    <row r="553" spans="1:55" x14ac:dyDescent="0.25">
      <c r="A553" s="302"/>
      <c r="E553" s="96" t="s">
        <v>237</v>
      </c>
      <c r="F553" s="85"/>
      <c r="G553" s="176"/>
      <c r="H553" s="44"/>
      <c r="I553" s="85"/>
      <c r="J553" s="44"/>
      <c r="K553" s="251"/>
      <c r="L553" s="85"/>
      <c r="M553" s="85"/>
      <c r="N553" s="85"/>
      <c r="O553" s="44"/>
      <c r="Q553" s="96" t="s">
        <v>14</v>
      </c>
      <c r="R553" s="84" t="s">
        <v>13</v>
      </c>
      <c r="S553" s="176">
        <f>SUM(S548,S550)*(44/28)*X537*$U$13</f>
        <v>1.9267232074981167</v>
      </c>
      <c r="T553" s="85"/>
      <c r="U553" s="85"/>
      <c r="V553" s="186"/>
      <c r="AA553" s="302"/>
      <c r="AC553" s="483"/>
      <c r="AG553" s="96" t="s">
        <v>237</v>
      </c>
      <c r="AH553" s="85"/>
      <c r="AI553" s="176"/>
      <c r="AJ553" s="44"/>
      <c r="AK553" s="85"/>
      <c r="AL553" s="44"/>
      <c r="AM553" s="251"/>
      <c r="AN553" s="85"/>
      <c r="AO553" s="85"/>
      <c r="AP553" s="85"/>
      <c r="AQ553" s="44"/>
      <c r="AS553" s="96" t="s">
        <v>14</v>
      </c>
      <c r="AT553" s="84" t="s">
        <v>13</v>
      </c>
      <c r="AU553" s="176">
        <f>SUM(AU548,AU550)*(44/28)*AZ537*$U$13</f>
        <v>1.9267738723377228</v>
      </c>
      <c r="AV553" s="85"/>
      <c r="AW553" s="85"/>
      <c r="AX553" s="186"/>
      <c r="BC553" s="483"/>
    </row>
    <row r="554" spans="1:55" x14ac:dyDescent="0.25">
      <c r="A554" s="302"/>
      <c r="E554" s="97" t="s">
        <v>107</v>
      </c>
      <c r="F554" s="85" t="s">
        <v>10</v>
      </c>
      <c r="G554" s="197">
        <f>((F536)+(F537*C532/365))*M529/100</f>
        <v>2.034531962722853E-2</v>
      </c>
      <c r="H554" s="44"/>
      <c r="I554" s="85" t="s">
        <v>111</v>
      </c>
      <c r="J554" s="114" t="s">
        <v>11</v>
      </c>
      <c r="K554" s="252" t="s">
        <v>203</v>
      </c>
      <c r="L554" s="85"/>
      <c r="M554" s="85"/>
      <c r="N554" s="85"/>
      <c r="O554" s="44"/>
      <c r="Q554" s="96" t="s">
        <v>545</v>
      </c>
      <c r="R554" s="84" t="s">
        <v>13</v>
      </c>
      <c r="S554" s="258">
        <f>SUM(S549,S550)*(44/28)*X537*$U$13</f>
        <v>1.9267232074981167</v>
      </c>
      <c r="T554" s="85"/>
      <c r="U554" s="85"/>
      <c r="V554" s="186"/>
      <c r="AA554" s="302"/>
      <c r="AC554" s="483"/>
      <c r="AG554" s="97" t="s">
        <v>107</v>
      </c>
      <c r="AH554" s="85" t="s">
        <v>10</v>
      </c>
      <c r="AI554" s="197">
        <f>((AH536)+(AH537*AE532/365))*AO529/100</f>
        <v>2.405568235028397E-2</v>
      </c>
      <c r="AJ554" s="44"/>
      <c r="AK554" s="85" t="s">
        <v>111</v>
      </c>
      <c r="AL554" s="114" t="s">
        <v>11</v>
      </c>
      <c r="AM554" s="252" t="s">
        <v>203</v>
      </c>
      <c r="AN554" s="85"/>
      <c r="AO554" s="85"/>
      <c r="AP554" s="85"/>
      <c r="AQ554" s="44"/>
      <c r="AS554" s="96" t="s">
        <v>545</v>
      </c>
      <c r="AT554" s="84" t="s">
        <v>13</v>
      </c>
      <c r="AU554" s="258">
        <f>SUM(AU549,AU550)*(44/28)*AZ537*$U$13</f>
        <v>1.9267738723377228</v>
      </c>
      <c r="AV554" s="85"/>
      <c r="AW554" s="85"/>
      <c r="AX554" s="186"/>
      <c r="BC554" s="483"/>
    </row>
    <row r="555" spans="1:55" x14ac:dyDescent="0.25">
      <c r="A555" s="302"/>
      <c r="E555" s="97" t="s">
        <v>108</v>
      </c>
      <c r="F555" s="85" t="s">
        <v>10</v>
      </c>
      <c r="G555" s="197">
        <f>((G536)+(G537*C532/365))*N529/100</f>
        <v>0.17963981907921395</v>
      </c>
      <c r="H555" s="44"/>
      <c r="I555" s="85" t="s">
        <v>140</v>
      </c>
      <c r="J555" s="116"/>
      <c r="K555" s="251" t="s">
        <v>203</v>
      </c>
      <c r="L555" s="85"/>
      <c r="M555" s="85"/>
      <c r="N555" s="85"/>
      <c r="O555" s="44"/>
      <c r="Q555" s="122"/>
      <c r="R555" s="98"/>
      <c r="S555" s="199"/>
      <c r="T555" s="101"/>
      <c r="U555" s="101"/>
      <c r="V555" s="196" t="s">
        <v>210</v>
      </c>
      <c r="AA555" s="302"/>
      <c r="AC555" s="483"/>
      <c r="AG555" s="97" t="s">
        <v>108</v>
      </c>
      <c r="AH555" s="85" t="s">
        <v>10</v>
      </c>
      <c r="AI555" s="197">
        <f>((AI536)+(AI537*AE532/365))*AP529/100</f>
        <v>0.20440800912712973</v>
      </c>
      <c r="AJ555" s="44"/>
      <c r="AK555" s="85" t="s">
        <v>140</v>
      </c>
      <c r="AL555" s="116"/>
      <c r="AM555" s="251" t="s">
        <v>203</v>
      </c>
      <c r="AN555" s="85"/>
      <c r="AO555" s="85"/>
      <c r="AP555" s="85"/>
      <c r="AQ555" s="44"/>
      <c r="AS555" s="122"/>
      <c r="AT555" s="98"/>
      <c r="AU555" s="199"/>
      <c r="AV555" s="101"/>
      <c r="AW555" s="101"/>
      <c r="AX555" s="196" t="s">
        <v>210</v>
      </c>
      <c r="BC555" s="483"/>
    </row>
    <row r="556" spans="1:55" x14ac:dyDescent="0.25">
      <c r="A556" s="302"/>
      <c r="E556" s="97" t="s">
        <v>109</v>
      </c>
      <c r="F556" s="85" t="s">
        <v>10</v>
      </c>
      <c r="G556" s="197">
        <f>F538*M531/100</f>
        <v>0.91164347095623977</v>
      </c>
      <c r="H556" s="44"/>
      <c r="I556" s="85" t="s">
        <v>112</v>
      </c>
      <c r="J556" s="114" t="s">
        <v>90</v>
      </c>
      <c r="K556" s="252" t="s">
        <v>203</v>
      </c>
      <c r="L556" s="85"/>
      <c r="M556" s="85"/>
      <c r="N556" s="85"/>
      <c r="O556" s="44"/>
      <c r="AA556" s="302"/>
      <c r="AC556" s="483"/>
      <c r="AG556" s="97" t="s">
        <v>109</v>
      </c>
      <c r="AH556" s="85" t="s">
        <v>10</v>
      </c>
      <c r="AI556" s="197">
        <f>AH538*AO531/100</f>
        <v>1.067797747804045</v>
      </c>
      <c r="AJ556" s="44"/>
      <c r="AK556" s="85" t="s">
        <v>112</v>
      </c>
      <c r="AL556" s="114" t="s">
        <v>90</v>
      </c>
      <c r="AM556" s="252" t="s">
        <v>203</v>
      </c>
      <c r="AN556" s="85"/>
      <c r="AO556" s="85"/>
      <c r="AP556" s="85"/>
      <c r="AQ556" s="44"/>
      <c r="BC556" s="483"/>
    </row>
    <row r="557" spans="1:55" x14ac:dyDescent="0.25">
      <c r="A557" s="302"/>
      <c r="E557" s="97" t="s">
        <v>110</v>
      </c>
      <c r="F557" s="85" t="s">
        <v>10</v>
      </c>
      <c r="G557" s="197">
        <f>(G536)*N530/100</f>
        <v>0.9155393832252835</v>
      </c>
      <c r="H557" s="44"/>
      <c r="I557" s="44"/>
      <c r="J557" s="116"/>
      <c r="K557" s="252" t="s">
        <v>203</v>
      </c>
      <c r="L557" s="85"/>
      <c r="M557" s="85"/>
      <c r="N557" s="85"/>
      <c r="O557" s="44"/>
      <c r="AA557" s="302"/>
      <c r="AC557" s="483"/>
      <c r="AG557" s="97" t="s">
        <v>110</v>
      </c>
      <c r="AH557" s="85" t="s">
        <v>10</v>
      </c>
      <c r="AI557" s="197">
        <f>(AI536)*AP530/100</f>
        <v>1.0825057057627783</v>
      </c>
      <c r="AJ557" s="44"/>
      <c r="AK557" s="44"/>
      <c r="AL557" s="116"/>
      <c r="AM557" s="252" t="s">
        <v>203</v>
      </c>
      <c r="AN557" s="85"/>
      <c r="AO557" s="85"/>
      <c r="AP557" s="85"/>
      <c r="AQ557" s="44"/>
      <c r="BC557" s="483"/>
    </row>
    <row r="558" spans="1:55" x14ac:dyDescent="0.25">
      <c r="A558" s="302"/>
      <c r="E558" s="97"/>
      <c r="F558" s="85"/>
      <c r="G558" s="176"/>
      <c r="H558" s="44"/>
      <c r="I558" s="85"/>
      <c r="J558" s="116"/>
      <c r="K558" s="252"/>
      <c r="L558" s="44"/>
      <c r="M558" s="44"/>
      <c r="N558" s="44"/>
      <c r="O558" s="44"/>
      <c r="V558" s="56" t="s">
        <v>210</v>
      </c>
      <c r="AA558" s="302"/>
      <c r="AC558" s="483"/>
      <c r="AG558" s="97"/>
      <c r="AH558" s="85"/>
      <c r="AI558" s="176"/>
      <c r="AJ558" s="44"/>
      <c r="AK558" s="85"/>
      <c r="AL558" s="116"/>
      <c r="AM558" s="252"/>
      <c r="AN558" s="44"/>
      <c r="AO558" s="44"/>
      <c r="AP558" s="44"/>
      <c r="AQ558" s="44"/>
      <c r="AX558" s="56" t="s">
        <v>210</v>
      </c>
      <c r="BC558" s="483"/>
    </row>
    <row r="559" spans="1:55" x14ac:dyDescent="0.25">
      <c r="A559" s="302"/>
      <c r="E559" s="97" t="s">
        <v>239</v>
      </c>
      <c r="F559" s="85" t="s">
        <v>10</v>
      </c>
      <c r="G559" s="176">
        <f>_xlfn.AGGREGATE(9,6,G549,G550,G554,G555)</f>
        <v>0.21717225922913291</v>
      </c>
      <c r="H559" s="44"/>
      <c r="I559" s="85" t="s">
        <v>113</v>
      </c>
      <c r="J559" s="100"/>
      <c r="K559" s="252" t="s">
        <v>203</v>
      </c>
      <c r="L559" s="44"/>
      <c r="M559" s="44"/>
      <c r="N559" s="44"/>
      <c r="O559" s="44"/>
      <c r="V559" s="56" t="s">
        <v>210</v>
      </c>
      <c r="AA559" s="302"/>
      <c r="AC559" s="483"/>
      <c r="AG559" s="97" t="s">
        <v>239</v>
      </c>
      <c r="AH559" s="85" t="s">
        <v>10</v>
      </c>
      <c r="AI559" s="176">
        <f>_xlfn.AGGREGATE(9,6,AI549,AI550,AI554,AI555)</f>
        <v>0.24177667057208171</v>
      </c>
      <c r="AJ559" s="44"/>
      <c r="AK559" s="85" t="s">
        <v>113</v>
      </c>
      <c r="AL559" s="100"/>
      <c r="AM559" s="252" t="s">
        <v>203</v>
      </c>
      <c r="AN559" s="44"/>
      <c r="AO559" s="44"/>
      <c r="AP559" s="44"/>
      <c r="AQ559" s="44"/>
      <c r="AX559" s="56" t="s">
        <v>210</v>
      </c>
      <c r="BC559" s="483"/>
    </row>
    <row r="560" spans="1:55" x14ac:dyDescent="0.25">
      <c r="A560" s="302"/>
      <c r="E560" s="97" t="s">
        <v>240</v>
      </c>
      <c r="F560" s="85" t="s">
        <v>10</v>
      </c>
      <c r="G560" s="176">
        <f>_xlfn.AGGREGATE(9,6,G551,G552,G556,G557)</f>
        <v>2.5868857466450565</v>
      </c>
      <c r="H560" s="44"/>
      <c r="I560" s="85" t="s">
        <v>114</v>
      </c>
      <c r="J560" s="100"/>
      <c r="K560" s="252" t="s">
        <v>203</v>
      </c>
      <c r="L560" s="85"/>
      <c r="M560" s="85"/>
      <c r="N560" s="85"/>
      <c r="O560" s="44"/>
      <c r="V560" s="56" t="s">
        <v>210</v>
      </c>
      <c r="AA560" s="302"/>
      <c r="AC560" s="483"/>
      <c r="AG560" s="97" t="s">
        <v>240</v>
      </c>
      <c r="AH560" s="85" t="s">
        <v>10</v>
      </c>
      <c r="AI560" s="176">
        <f>_xlfn.AGGREGATE(9,6,AI551,AI552,AI556,AI557)</f>
        <v>2.736290022483677</v>
      </c>
      <c r="AJ560" s="44"/>
      <c r="AK560" s="85" t="s">
        <v>114</v>
      </c>
      <c r="AL560" s="100"/>
      <c r="AM560" s="252" t="s">
        <v>203</v>
      </c>
      <c r="AN560" s="85"/>
      <c r="AO560" s="85"/>
      <c r="AP560" s="85"/>
      <c r="AQ560" s="44"/>
      <c r="AX560" s="56" t="s">
        <v>210</v>
      </c>
      <c r="BC560" s="483"/>
    </row>
    <row r="561" spans="1:55" x14ac:dyDescent="0.25">
      <c r="A561" s="302"/>
      <c r="E561" s="97"/>
      <c r="F561" s="85"/>
      <c r="G561" s="85"/>
      <c r="H561" s="44"/>
      <c r="I561" s="85"/>
      <c r="J561" s="100"/>
      <c r="K561" s="252" t="s">
        <v>203</v>
      </c>
      <c r="L561" s="44"/>
      <c r="M561" s="44"/>
      <c r="N561" s="85"/>
      <c r="O561" s="44"/>
      <c r="V561" s="56" t="s">
        <v>210</v>
      </c>
      <c r="AA561" s="302"/>
      <c r="AC561" s="483"/>
      <c r="AG561" s="97"/>
      <c r="AH561" s="85"/>
      <c r="AI561" s="85"/>
      <c r="AJ561" s="44"/>
      <c r="AK561" s="85"/>
      <c r="AL561" s="100"/>
      <c r="AM561" s="252" t="s">
        <v>203</v>
      </c>
      <c r="AN561" s="44"/>
      <c r="AO561" s="44"/>
      <c r="AP561" s="85"/>
      <c r="AQ561" s="44"/>
      <c r="AX561" s="56" t="s">
        <v>210</v>
      </c>
      <c r="BC561" s="483"/>
    </row>
    <row r="562" spans="1:55" x14ac:dyDescent="0.25">
      <c r="A562" s="302"/>
      <c r="E562" s="97" t="s">
        <v>91</v>
      </c>
      <c r="F562" s="85"/>
      <c r="G562" s="85"/>
      <c r="H562" s="44"/>
      <c r="I562" s="85"/>
      <c r="J562" s="85"/>
      <c r="K562" s="251" t="s">
        <v>203</v>
      </c>
      <c r="L562" s="99"/>
      <c r="M562" s="85"/>
      <c r="N562" s="85"/>
      <c r="O562" s="44"/>
      <c r="V562" s="56" t="s">
        <v>210</v>
      </c>
      <c r="AA562" s="302"/>
      <c r="AC562" s="483"/>
      <c r="AG562" s="97" t="s">
        <v>91</v>
      </c>
      <c r="AH562" s="85"/>
      <c r="AI562" s="85"/>
      <c r="AJ562" s="44"/>
      <c r="AK562" s="85"/>
      <c r="AL562" s="85"/>
      <c r="AM562" s="251" t="s">
        <v>203</v>
      </c>
      <c r="AN562" s="99"/>
      <c r="AO562" s="85"/>
      <c r="AP562" s="85"/>
      <c r="AQ562" s="44"/>
      <c r="AX562" s="56" t="s">
        <v>210</v>
      </c>
      <c r="BC562" s="483"/>
    </row>
    <row r="563" spans="1:55" x14ac:dyDescent="0.25">
      <c r="A563" s="302"/>
      <c r="E563" s="97" t="s">
        <v>190</v>
      </c>
      <c r="F563" s="85" t="s">
        <v>13</v>
      </c>
      <c r="G563" s="176">
        <f>G543*(44/28)*$U$13</f>
        <v>0</v>
      </c>
      <c r="H563" s="44"/>
      <c r="I563" s="85" t="s">
        <v>173</v>
      </c>
      <c r="J563" s="85"/>
      <c r="K563" s="251" t="s">
        <v>203</v>
      </c>
      <c r="L563" s="85"/>
      <c r="M563" s="85"/>
      <c r="N563" s="85"/>
      <c r="O563" s="44"/>
      <c r="V563" s="56" t="s">
        <v>210</v>
      </c>
      <c r="AA563" s="302"/>
      <c r="AC563" s="483"/>
      <c r="AG563" s="97" t="s">
        <v>190</v>
      </c>
      <c r="AH563" s="85" t="s">
        <v>13</v>
      </c>
      <c r="AI563" s="176">
        <f>AI543*(44/28)*$U$13</f>
        <v>0</v>
      </c>
      <c r="AJ563" s="44"/>
      <c r="AK563" s="85" t="s">
        <v>173</v>
      </c>
      <c r="AL563" s="85"/>
      <c r="AM563" s="251" t="s">
        <v>203</v>
      </c>
      <c r="AN563" s="85"/>
      <c r="AO563" s="85"/>
      <c r="AP563" s="85"/>
      <c r="AQ563" s="44"/>
      <c r="AX563" s="56" t="s">
        <v>210</v>
      </c>
      <c r="BC563" s="483"/>
    </row>
    <row r="564" spans="1:55" x14ac:dyDescent="0.25">
      <c r="A564" s="302"/>
      <c r="E564" s="97" t="s">
        <v>189</v>
      </c>
      <c r="F564" s="85" t="s">
        <v>13</v>
      </c>
      <c r="G564" s="182">
        <f>G544*(44/28)*M542*$U$13</f>
        <v>0</v>
      </c>
      <c r="H564" s="44"/>
      <c r="I564" s="85" t="s">
        <v>174</v>
      </c>
      <c r="J564" s="85"/>
      <c r="K564" s="251" t="s">
        <v>203</v>
      </c>
      <c r="L564" s="85"/>
      <c r="M564" s="85"/>
      <c r="N564" s="85"/>
      <c r="O564" s="44"/>
      <c r="V564" s="56" t="s">
        <v>210</v>
      </c>
      <c r="AA564" s="302"/>
      <c r="AC564" s="483"/>
      <c r="AG564" s="97" t="s">
        <v>189</v>
      </c>
      <c r="AH564" s="85" t="s">
        <v>13</v>
      </c>
      <c r="AI564" s="182">
        <f>AI544*(44/28)*AO542*$U$13</f>
        <v>0</v>
      </c>
      <c r="AJ564" s="44"/>
      <c r="AK564" s="85" t="s">
        <v>174</v>
      </c>
      <c r="AL564" s="85"/>
      <c r="AM564" s="251" t="s">
        <v>203</v>
      </c>
      <c r="AN564" s="85"/>
      <c r="AO564" s="85"/>
      <c r="AP564" s="85"/>
      <c r="AQ564" s="44"/>
      <c r="AX564" s="56" t="s">
        <v>210</v>
      </c>
      <c r="BC564" s="483"/>
    </row>
    <row r="565" spans="1:55" x14ac:dyDescent="0.25">
      <c r="A565" s="302"/>
      <c r="E565" s="97" t="s">
        <v>198</v>
      </c>
      <c r="F565" s="85" t="s">
        <v>13</v>
      </c>
      <c r="G565" s="182">
        <f>G545*(44/28)*M544*$U$13</f>
        <v>0</v>
      </c>
      <c r="H565" s="44"/>
      <c r="I565" s="85" t="s">
        <v>199</v>
      </c>
      <c r="J565" s="85"/>
      <c r="K565" s="251" t="s">
        <v>203</v>
      </c>
      <c r="L565" s="85"/>
      <c r="M565" s="85"/>
      <c r="N565" s="85"/>
      <c r="O565" s="44"/>
      <c r="V565" s="56" t="s">
        <v>210</v>
      </c>
      <c r="AA565" s="302"/>
      <c r="AC565" s="483"/>
      <c r="AG565" s="97" t="s">
        <v>198</v>
      </c>
      <c r="AH565" s="85" t="s">
        <v>13</v>
      </c>
      <c r="AI565" s="182">
        <f>AI545*(44/28)*AO544*$U$13</f>
        <v>0</v>
      </c>
      <c r="AJ565" s="44"/>
      <c r="AK565" s="85" t="s">
        <v>199</v>
      </c>
      <c r="AL565" s="85"/>
      <c r="AM565" s="251" t="s">
        <v>203</v>
      </c>
      <c r="AN565" s="85"/>
      <c r="AO565" s="85"/>
      <c r="AP565" s="85"/>
      <c r="AQ565" s="44"/>
      <c r="AX565" s="56" t="s">
        <v>210</v>
      </c>
      <c r="BC565" s="483"/>
    </row>
    <row r="566" spans="1:55" x14ac:dyDescent="0.25">
      <c r="A566" s="302"/>
      <c r="E566" s="66"/>
      <c r="F566" s="44"/>
      <c r="G566" s="44"/>
      <c r="H566" s="44"/>
      <c r="I566" s="44"/>
      <c r="J566" s="44"/>
      <c r="K566" s="251" t="s">
        <v>203</v>
      </c>
      <c r="L566" s="85"/>
      <c r="M566" s="85"/>
      <c r="N566" s="85"/>
      <c r="O566" s="44"/>
      <c r="V566" s="56" t="s">
        <v>210</v>
      </c>
      <c r="AA566" s="302"/>
      <c r="AC566" s="483"/>
      <c r="AG566" s="66"/>
      <c r="AH566" s="44"/>
      <c r="AI566" s="44"/>
      <c r="AJ566" s="44"/>
      <c r="AK566" s="44"/>
      <c r="AL566" s="44"/>
      <c r="AM566" s="251" t="s">
        <v>203</v>
      </c>
      <c r="AN566" s="85"/>
      <c r="AO566" s="85"/>
      <c r="AP566" s="85"/>
      <c r="AQ566" s="44"/>
      <c r="AX566" s="56" t="s">
        <v>210</v>
      </c>
      <c r="BC566" s="483"/>
    </row>
    <row r="567" spans="1:55" x14ac:dyDescent="0.25">
      <c r="A567" s="302"/>
      <c r="E567" s="97" t="s">
        <v>15</v>
      </c>
      <c r="F567" s="85"/>
      <c r="G567" s="85"/>
      <c r="H567" s="44"/>
      <c r="I567" s="85"/>
      <c r="J567" s="85"/>
      <c r="K567" s="65"/>
      <c r="L567" s="85"/>
      <c r="M567" s="85"/>
      <c r="N567" s="85"/>
      <c r="O567" s="44"/>
      <c r="V567" s="56" t="s">
        <v>210</v>
      </c>
      <c r="AA567" s="302"/>
      <c r="AC567" s="483"/>
      <c r="AG567" s="97" t="s">
        <v>15</v>
      </c>
      <c r="AH567" s="85"/>
      <c r="AI567" s="85"/>
      <c r="AJ567" s="44"/>
      <c r="AK567" s="85"/>
      <c r="AL567" s="85"/>
      <c r="AM567" s="65"/>
      <c r="AN567" s="85"/>
      <c r="AO567" s="85"/>
      <c r="AP567" s="85"/>
      <c r="AQ567" s="44"/>
      <c r="AX567" s="56" t="s">
        <v>210</v>
      </c>
      <c r="BC567" s="483"/>
    </row>
    <row r="568" spans="1:55" x14ac:dyDescent="0.25">
      <c r="A568" s="302"/>
      <c r="E568" s="96" t="s">
        <v>186</v>
      </c>
      <c r="F568" s="84" t="s">
        <v>13</v>
      </c>
      <c r="G568" s="182">
        <f>G559*(44/28)*$U$13</f>
        <v>93.166899209298009</v>
      </c>
      <c r="H568" s="44"/>
      <c r="I568" s="85" t="s">
        <v>175</v>
      </c>
      <c r="J568" s="85"/>
      <c r="K568" s="251" t="s">
        <v>203</v>
      </c>
      <c r="L568" s="85"/>
      <c r="M568" s="85"/>
      <c r="N568" s="85"/>
      <c r="O568" s="44"/>
      <c r="AA568" s="302"/>
      <c r="AC568" s="483"/>
      <c r="AG568" s="96" t="s">
        <v>186</v>
      </c>
      <c r="AH568" s="84" t="s">
        <v>13</v>
      </c>
      <c r="AI568" s="182">
        <f>AI559*(44/28)*$U$13</f>
        <v>103.72219167542305</v>
      </c>
      <c r="AJ568" s="44"/>
      <c r="AK568" s="85" t="s">
        <v>175</v>
      </c>
      <c r="AL568" s="85"/>
      <c r="AM568" s="251" t="s">
        <v>203</v>
      </c>
      <c r="AN568" s="85"/>
      <c r="AO568" s="85"/>
      <c r="AP568" s="85"/>
      <c r="AQ568" s="44"/>
      <c r="BC568" s="483"/>
    </row>
    <row r="569" spans="1:55" x14ac:dyDescent="0.25">
      <c r="A569" s="302"/>
      <c r="E569" s="96" t="s">
        <v>187</v>
      </c>
      <c r="F569" s="84" t="s">
        <v>13</v>
      </c>
      <c r="G569" s="182">
        <f>G560*(44/28)*M542*$U$13</f>
        <v>11.097739853107292</v>
      </c>
      <c r="H569" s="44"/>
      <c r="I569" s="85" t="s">
        <v>176</v>
      </c>
      <c r="J569" s="85"/>
      <c r="K569" s="251" t="s">
        <v>203</v>
      </c>
      <c r="L569" s="195"/>
      <c r="M569" s="195"/>
      <c r="N569" s="195"/>
      <c r="AA569" s="302"/>
      <c r="AC569" s="483"/>
      <c r="AG569" s="96" t="s">
        <v>187</v>
      </c>
      <c r="AH569" s="84" t="s">
        <v>13</v>
      </c>
      <c r="AI569" s="182">
        <f>AI560*(44/28)*AO542*$U$13</f>
        <v>11.738684196454974</v>
      </c>
      <c r="AJ569" s="44"/>
      <c r="AK569" s="85" t="s">
        <v>176</v>
      </c>
      <c r="AL569" s="85"/>
      <c r="AM569" s="251" t="s">
        <v>203</v>
      </c>
      <c r="AN569" s="195"/>
      <c r="AO569" s="195"/>
      <c r="AP569" s="195"/>
      <c r="BC569" s="483"/>
    </row>
    <row r="570" spans="1:55" x14ac:dyDescent="0.25">
      <c r="A570" s="302"/>
      <c r="E570" s="96"/>
      <c r="F570" s="84"/>
      <c r="G570" s="182"/>
      <c r="H570" s="44"/>
      <c r="I570" s="85"/>
      <c r="J570" s="85"/>
      <c r="K570" s="251" t="s">
        <v>203</v>
      </c>
      <c r="L570" s="195"/>
      <c r="M570" s="195"/>
      <c r="N570" s="195"/>
      <c r="AA570" s="302"/>
      <c r="AC570" s="483"/>
      <c r="AG570" s="96"/>
      <c r="AH570" s="84"/>
      <c r="AI570" s="182"/>
      <c r="AJ570" s="44"/>
      <c r="AK570" s="85"/>
      <c r="AL570" s="85"/>
      <c r="AM570" s="251" t="s">
        <v>203</v>
      </c>
      <c r="AN570" s="195"/>
      <c r="AO570" s="195"/>
      <c r="AP570" s="195"/>
      <c r="BC570" s="483"/>
    </row>
    <row r="571" spans="1:55" x14ac:dyDescent="0.25">
      <c r="A571" s="302"/>
      <c r="E571" s="97" t="s">
        <v>92</v>
      </c>
      <c r="F571" s="85"/>
      <c r="G571" s="85"/>
      <c r="H571" s="44"/>
      <c r="I571" s="85"/>
      <c r="J571" s="85"/>
      <c r="K571" s="251" t="s">
        <v>203</v>
      </c>
      <c r="L571" s="195"/>
      <c r="M571" s="195"/>
      <c r="N571" s="195"/>
      <c r="AA571" s="302"/>
      <c r="AC571" s="483"/>
      <c r="AG571" s="97" t="s">
        <v>92</v>
      </c>
      <c r="AH571" s="85"/>
      <c r="AI571" s="85"/>
      <c r="AJ571" s="44"/>
      <c r="AK571" s="85"/>
      <c r="AL571" s="85"/>
      <c r="AM571" s="251" t="s">
        <v>203</v>
      </c>
      <c r="AN571" s="195"/>
      <c r="AO571" s="195"/>
      <c r="AP571" s="195"/>
      <c r="BC571" s="483"/>
    </row>
    <row r="572" spans="1:55" x14ac:dyDescent="0.25">
      <c r="A572" s="302"/>
      <c r="E572" s="97" t="s">
        <v>191</v>
      </c>
      <c r="F572" s="84" t="s">
        <v>13</v>
      </c>
      <c r="G572" s="176">
        <f>G563+G568</f>
        <v>93.166899209298009</v>
      </c>
      <c r="H572" s="44"/>
      <c r="I572" s="85"/>
      <c r="J572" s="85"/>
      <c r="K572" s="251" t="s">
        <v>203</v>
      </c>
      <c r="L572" s="195"/>
      <c r="M572" s="195"/>
      <c r="N572" s="195"/>
      <c r="AA572" s="302"/>
      <c r="AC572" s="483"/>
      <c r="AG572" s="97" t="s">
        <v>191</v>
      </c>
      <c r="AH572" s="84" t="s">
        <v>13</v>
      </c>
      <c r="AI572" s="176">
        <f>AI563+AI568</f>
        <v>103.72219167542305</v>
      </c>
      <c r="AJ572" s="44"/>
      <c r="AK572" s="85"/>
      <c r="AL572" s="85"/>
      <c r="AM572" s="251" t="s">
        <v>203</v>
      </c>
      <c r="AN572" s="195"/>
      <c r="AO572" s="195"/>
      <c r="AP572" s="195"/>
      <c r="BC572" s="483"/>
    </row>
    <row r="573" spans="1:55" x14ac:dyDescent="0.25">
      <c r="A573" s="302"/>
      <c r="E573" s="97" t="s">
        <v>192</v>
      </c>
      <c r="F573" s="84" t="s">
        <v>13</v>
      </c>
      <c r="G573" s="176">
        <f>G564+G565+G569</f>
        <v>11.097739853107292</v>
      </c>
      <c r="H573" s="44"/>
      <c r="I573" s="85"/>
      <c r="J573" s="85"/>
      <c r="K573" s="251" t="s">
        <v>203</v>
      </c>
      <c r="L573" s="195"/>
      <c r="M573" s="195"/>
      <c r="N573" s="195"/>
      <c r="AA573" s="302"/>
      <c r="AC573" s="483"/>
      <c r="AG573" s="97" t="s">
        <v>192</v>
      </c>
      <c r="AH573" s="84" t="s">
        <v>13</v>
      </c>
      <c r="AI573" s="176">
        <f>AI564+AI565+AI569</f>
        <v>11.738684196454974</v>
      </c>
      <c r="AJ573" s="44"/>
      <c r="AK573" s="85"/>
      <c r="AL573" s="85"/>
      <c r="AM573" s="251" t="s">
        <v>203</v>
      </c>
      <c r="AN573" s="195"/>
      <c r="AO573" s="195"/>
      <c r="AP573" s="195"/>
      <c r="BC573" s="483"/>
    </row>
    <row r="574" spans="1:55" x14ac:dyDescent="0.25">
      <c r="A574" s="302"/>
      <c r="E574" s="115"/>
      <c r="F574" s="24"/>
      <c r="G574" s="24"/>
      <c r="H574" s="24"/>
      <c r="I574" s="24"/>
      <c r="J574" s="24"/>
      <c r="K574" s="253" t="s">
        <v>203</v>
      </c>
      <c r="L574" s="195"/>
      <c r="M574" s="195"/>
      <c r="N574" s="195"/>
      <c r="AA574" s="302"/>
      <c r="AC574" s="483"/>
      <c r="AG574" s="115"/>
      <c r="AH574" s="24"/>
      <c r="AI574" s="24"/>
      <c r="AJ574" s="24"/>
      <c r="AK574" s="24"/>
      <c r="AL574" s="24"/>
      <c r="AM574" s="253" t="s">
        <v>203</v>
      </c>
      <c r="AN574" s="195"/>
      <c r="AO574" s="195"/>
      <c r="AP574" s="195"/>
      <c r="BC574" s="483"/>
    </row>
    <row r="575" spans="1:55" x14ac:dyDescent="0.25">
      <c r="E575" s="44"/>
      <c r="F575" s="44"/>
      <c r="G575" s="44"/>
      <c r="I575" s="44"/>
      <c r="J575" s="44"/>
      <c r="K575" s="208" t="s">
        <v>203</v>
      </c>
      <c r="L575" s="195"/>
      <c r="M575" s="195"/>
      <c r="N575" s="195"/>
      <c r="P575" s="44"/>
      <c r="Q575" s="44"/>
      <c r="R575" s="44"/>
      <c r="S575" s="44"/>
      <c r="T575" s="44"/>
      <c r="U575" s="44" t="s">
        <v>210</v>
      </c>
      <c r="V575" s="44"/>
      <c r="AG575" s="44"/>
      <c r="AH575" s="44"/>
      <c r="AI575" s="44"/>
      <c r="AK575" s="44"/>
      <c r="AL575" s="44"/>
      <c r="AM575" s="208" t="s">
        <v>203</v>
      </c>
      <c r="AN575" s="195"/>
      <c r="AO575" s="195"/>
      <c r="AP575" s="195"/>
      <c r="AR575" s="44"/>
      <c r="AS575" s="44"/>
      <c r="AT575" s="44"/>
      <c r="AU575" s="44"/>
      <c r="AV575" s="44"/>
      <c r="AW575" s="44" t="s">
        <v>210</v>
      </c>
      <c r="AX575" s="44"/>
    </row>
    <row r="576" spans="1:55" x14ac:dyDescent="0.25">
      <c r="W576" s="139"/>
      <c r="X576" s="139"/>
      <c r="Y576" s="139"/>
    </row>
  </sheetData>
  <sheetProtection algorithmName="SHA-512" hashValue="75RJLsW/goF0ZwPtmlF7PlW4nrMms7qpxZ7Stex+7nd5LgrrqUI1woZUsKMu6XG/YyKDcb4yX6eKGcjZnSXvuA==" saltValue="0slxrYfbV3tFWtN6ZJTnfg==" spinCount="100000" sheet="1" objects="1" scenarios="1"/>
  <mergeCells count="21">
    <mergeCell ref="AD537:AD538"/>
    <mergeCell ref="B51:B52"/>
    <mergeCell ref="B159:B160"/>
    <mergeCell ref="B105:B106"/>
    <mergeCell ref="B213:B214"/>
    <mergeCell ref="B483:B484"/>
    <mergeCell ref="B537:B538"/>
    <mergeCell ref="AD483:AD484"/>
    <mergeCell ref="BG37:BH37"/>
    <mergeCell ref="B267:B268"/>
    <mergeCell ref="B321:B322"/>
    <mergeCell ref="B375:B376"/>
    <mergeCell ref="B429:B430"/>
    <mergeCell ref="AD51:AD52"/>
    <mergeCell ref="AD105:AD106"/>
    <mergeCell ref="AD159:AD160"/>
    <mergeCell ref="AD213:AD214"/>
    <mergeCell ref="AD267:AD268"/>
    <mergeCell ref="AD321:AD322"/>
    <mergeCell ref="AD375:AD376"/>
    <mergeCell ref="AD429:AD430"/>
  </mergeCells>
  <phoneticPr fontId="17" type="noConversion"/>
  <conditionalFormatting sqref="E2:X30">
    <cfRule type="cellIs" dxfId="1" priority="1" operator="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1A026-CD52-471D-946C-C72A515CC429}">
  <sheetPr>
    <tabColor theme="6" tint="0.79998168889431442"/>
  </sheetPr>
  <dimension ref="A1:AK226"/>
  <sheetViews>
    <sheetView topLeftCell="A43" zoomScale="55" zoomScaleNormal="55" workbookViewId="0">
      <selection activeCell="E83" sqref="E83"/>
    </sheetView>
  </sheetViews>
  <sheetFormatPr defaultRowHeight="15" outlineLevelRow="1" x14ac:dyDescent="0.25"/>
  <cols>
    <col min="2" max="2" width="49.140625" customWidth="1"/>
    <col min="3" max="3" width="64" customWidth="1"/>
    <col min="4" max="4" width="15.7109375" customWidth="1"/>
    <col min="5" max="5" width="29.42578125" customWidth="1"/>
    <col min="6" max="6" width="24.28515625" customWidth="1"/>
    <col min="7" max="7" width="45.28515625" bestFit="1" customWidth="1"/>
    <col min="8" max="8" width="22.85546875" customWidth="1"/>
    <col min="9" max="9" width="22" customWidth="1"/>
    <col min="10" max="10" width="15.28515625" customWidth="1"/>
    <col min="11" max="11" width="34.85546875" customWidth="1"/>
    <col min="12" max="12" width="24.5703125" customWidth="1"/>
    <col min="13" max="13" width="40.42578125" style="341" bestFit="1" customWidth="1"/>
    <col min="14" max="28" width="23.42578125" customWidth="1"/>
    <col min="29" max="29" width="16" bestFit="1" customWidth="1"/>
    <col min="30" max="30" width="14.7109375" bestFit="1" customWidth="1"/>
    <col min="31" max="31" width="17.85546875" bestFit="1" customWidth="1"/>
    <col min="32" max="33" width="13.85546875" bestFit="1" customWidth="1"/>
    <col min="34" max="34" width="14.7109375" bestFit="1" customWidth="1"/>
    <col min="35" max="35" width="15.7109375" bestFit="1" customWidth="1"/>
    <col min="36" max="36" width="14.42578125" bestFit="1" customWidth="1"/>
    <col min="37" max="37" width="15" bestFit="1" customWidth="1"/>
  </cols>
  <sheetData>
    <row r="1" spans="1:21" hidden="1" outlineLevel="1" x14ac:dyDescent="0.25">
      <c r="A1" s="56"/>
      <c r="B1" s="91">
        <v>1</v>
      </c>
      <c r="C1" s="91">
        <v>2</v>
      </c>
      <c r="D1" s="91">
        <v>3</v>
      </c>
      <c r="E1" s="91">
        <v>4</v>
      </c>
      <c r="F1" s="91">
        <v>5</v>
      </c>
      <c r="G1" s="91">
        <v>6</v>
      </c>
      <c r="H1" s="91">
        <v>7</v>
      </c>
      <c r="I1" s="91">
        <v>8</v>
      </c>
      <c r="J1" s="91">
        <v>9</v>
      </c>
      <c r="K1" s="91">
        <v>10</v>
      </c>
      <c r="L1" s="91">
        <v>11</v>
      </c>
      <c r="M1" s="91">
        <v>12</v>
      </c>
      <c r="N1" s="91">
        <v>13</v>
      </c>
      <c r="O1" s="91">
        <v>14</v>
      </c>
      <c r="P1" s="91">
        <v>15</v>
      </c>
      <c r="Q1" s="91">
        <v>16</v>
      </c>
      <c r="R1" s="91">
        <v>17</v>
      </c>
      <c r="S1" s="91">
        <v>18</v>
      </c>
      <c r="T1" s="91">
        <v>19</v>
      </c>
      <c r="U1" s="91">
        <v>20</v>
      </c>
    </row>
    <row r="2" spans="1:21" hidden="1" outlineLevel="1" x14ac:dyDescent="0.25">
      <c r="A2" s="91">
        <v>1</v>
      </c>
      <c r="B2" s="118" t="str">
        <f t="array" ref="B2:U30">EF!B2:U30</f>
        <v>Staldtype</v>
      </c>
      <c r="C2" s="119" t="str">
        <v>Gødningsfordeling</v>
      </c>
      <c r="D2" s="119" t="str">
        <v>direct N2O-N, % af N</v>
      </c>
      <c r="E2" s="119" t="str">
        <v>direct N2O-N, % af N</v>
      </c>
      <c r="F2" s="119" t="str">
        <v>Reference</v>
      </c>
      <c r="G2" s="119" t="str">
        <v>NH3, % af TAN ab dyr</v>
      </c>
      <c r="H2" s="119" t="str">
        <v>NH3, % af total-N ab dyr</v>
      </c>
      <c r="I2" s="119" t="str">
        <v>Reference</v>
      </c>
      <c r="J2" s="119" t="str">
        <v>Nox, % af N</v>
      </c>
      <c r="K2" s="119" t="str">
        <v>Nox, % af N</v>
      </c>
      <c r="L2" s="119" t="str">
        <v>Reference</v>
      </c>
      <c r="M2" s="210" t="str">
        <v>N2, % af N</v>
      </c>
      <c r="N2" s="119" t="str">
        <v>N2, % af N</v>
      </c>
      <c r="O2" s="119" t="str">
        <v>Reference</v>
      </c>
      <c r="P2" s="119">
        <v>0</v>
      </c>
      <c r="Q2" s="119" t="str">
        <v>Faktorer</v>
      </c>
      <c r="R2" s="119" t="str">
        <v>Malkekøer</v>
      </c>
      <c r="S2" s="119" t="str">
        <v>Andre kvæg</v>
      </c>
      <c r="T2" s="119" t="str">
        <v>Reference</v>
      </c>
      <c r="U2" s="124">
        <v>0</v>
      </c>
    </row>
    <row r="3" spans="1:21" hidden="1" outlineLevel="1" x14ac:dyDescent="0.25">
      <c r="A3" s="91">
        <v>2</v>
      </c>
      <c r="B3" s="66">
        <v>0</v>
      </c>
      <c r="C3" s="44">
        <v>0</v>
      </c>
      <c r="D3" s="44" t="str">
        <v>Gylle</v>
      </c>
      <c r="E3" s="44" t="str">
        <v>Dybstrøelse, no mixing</v>
      </c>
      <c r="F3" s="44">
        <v>0</v>
      </c>
      <c r="G3" s="44" t="str">
        <v>Gylle</v>
      </c>
      <c r="H3" s="44" t="str">
        <v>Dybstrøelse</v>
      </c>
      <c r="I3" s="44">
        <v>0</v>
      </c>
      <c r="J3" s="44" t="str">
        <v>Gylle</v>
      </c>
      <c r="K3" s="44" t="str">
        <v>Dybstrøelse</v>
      </c>
      <c r="L3" s="44">
        <v>0</v>
      </c>
      <c r="M3" s="208" t="str">
        <v>Gylle</v>
      </c>
      <c r="N3" s="44" t="str">
        <v>Dybstrøelse</v>
      </c>
      <c r="O3" s="44">
        <v>0</v>
      </c>
      <c r="P3" s="44">
        <v>0</v>
      </c>
      <c r="Q3" s="44" t="str">
        <v>B0</v>
      </c>
      <c r="R3" s="44">
        <v>0.24</v>
      </c>
      <c r="S3" s="44">
        <v>0.18</v>
      </c>
      <c r="T3" s="44" t="str">
        <v>IPCC, 2019 - TABLE 10.16</v>
      </c>
      <c r="U3" s="65">
        <v>0</v>
      </c>
    </row>
    <row r="4" spans="1:21" hidden="1" outlineLevel="1" x14ac:dyDescent="0.25">
      <c r="A4" s="91">
        <v>3</v>
      </c>
      <c r="B4" s="66" t="str">
        <v>Bindestald med grebning</v>
      </c>
      <c r="C4" s="44" t="str">
        <v>60 % Fast gødning - 40 % ajle</v>
      </c>
      <c r="D4" s="44">
        <v>0.2</v>
      </c>
      <c r="E4" s="44">
        <v>1</v>
      </c>
      <c r="F4" s="44" t="str">
        <v>IPCC, 2019 - TABLE 10.21 , EF3</v>
      </c>
      <c r="G4" s="44">
        <v>10</v>
      </c>
      <c r="H4" s="44">
        <v>0</v>
      </c>
      <c r="I4" s="44">
        <v>0</v>
      </c>
      <c r="J4" s="44">
        <v>0</v>
      </c>
      <c r="K4" s="44">
        <v>0</v>
      </c>
      <c r="L4" s="44">
        <v>0</v>
      </c>
      <c r="M4" s="208">
        <v>0</v>
      </c>
      <c r="N4" s="44">
        <v>0</v>
      </c>
      <c r="O4" s="44">
        <v>0</v>
      </c>
      <c r="P4" s="44">
        <v>0</v>
      </c>
      <c r="Q4" s="44">
        <v>0</v>
      </c>
      <c r="R4" s="44">
        <v>0</v>
      </c>
      <c r="S4" s="44">
        <v>0</v>
      </c>
      <c r="T4" s="44">
        <v>0</v>
      </c>
      <c r="U4" s="65">
        <v>0</v>
      </c>
    </row>
    <row r="5" spans="1:21" hidden="1" outlineLevel="1" x14ac:dyDescent="0.25">
      <c r="A5" s="91">
        <v>4</v>
      </c>
      <c r="B5" s="66" t="str">
        <v xml:space="preserve">Bindestald med riste </v>
      </c>
      <c r="C5" s="44" t="str">
        <v>100% gyllesystem</v>
      </c>
      <c r="D5" s="44">
        <v>0.2</v>
      </c>
      <c r="E5" s="44">
        <v>0</v>
      </c>
      <c r="F5" s="44" t="str">
        <v>IPCC, 2019 - TABLE 10.21, EF3</v>
      </c>
      <c r="G5" s="44">
        <v>6</v>
      </c>
      <c r="H5" s="44">
        <v>0</v>
      </c>
      <c r="I5" s="44" t="str">
        <v>Normtal, AU</v>
      </c>
      <c r="J5" s="44">
        <v>0.2</v>
      </c>
      <c r="K5" s="44">
        <v>0</v>
      </c>
      <c r="L5" s="44" t="str">
        <v>Dammgen &amp; Hutchings, 2008</v>
      </c>
      <c r="M5" s="208">
        <v>0.6</v>
      </c>
      <c r="N5" s="44">
        <v>0</v>
      </c>
      <c r="O5" s="44" t="str">
        <v>Vinther, F.P, 2005</v>
      </c>
      <c r="P5" s="44">
        <v>0</v>
      </c>
      <c r="Q5" s="44">
        <v>0</v>
      </c>
      <c r="R5" s="44" t="str">
        <v>MCF %</v>
      </c>
      <c r="S5" s="44">
        <v>0</v>
      </c>
      <c r="T5" s="44" t="str">
        <v>Reference</v>
      </c>
      <c r="U5" s="65">
        <v>0</v>
      </c>
    </row>
    <row r="6" spans="1:21" hidden="1" outlineLevel="1" x14ac:dyDescent="0.25">
      <c r="A6" s="91">
        <v>5</v>
      </c>
      <c r="B6" s="66" t="str">
        <v>Sengestald med spalter (kanal, linespil)</v>
      </c>
      <c r="C6" s="44" t="str">
        <v>100% gyllesystem</v>
      </c>
      <c r="D6" s="44">
        <v>0.2</v>
      </c>
      <c r="E6" s="44">
        <v>0</v>
      </c>
      <c r="F6" s="44" t="str">
        <v>IPCC, 2019 - TABLE 10.21, EF3</v>
      </c>
      <c r="G6" s="44">
        <v>12</v>
      </c>
      <c r="H6" s="44">
        <v>0</v>
      </c>
      <c r="I6" s="44" t="str">
        <v>Normtal, AU</v>
      </c>
      <c r="J6" s="44">
        <v>0.2</v>
      </c>
      <c r="K6" s="44">
        <v>0</v>
      </c>
      <c r="L6" s="44" t="str">
        <v>Dammgen &amp; Hutchings, 2008</v>
      </c>
      <c r="M6" s="208">
        <v>0.6</v>
      </c>
      <c r="N6" s="44">
        <v>0</v>
      </c>
      <c r="O6" s="44" t="str">
        <v>Vinther, F.P, 2005</v>
      </c>
      <c r="P6" s="44">
        <v>0</v>
      </c>
      <c r="Q6" s="44" t="str">
        <v xml:space="preserve">Gylle </v>
      </c>
      <c r="R6" s="44">
        <v>12.4</v>
      </c>
      <c r="S6" s="44">
        <v>0</v>
      </c>
      <c r="T6" s="44" t="str">
        <v>Nielsen et al. 2020</v>
      </c>
      <c r="U6" s="65">
        <v>0</v>
      </c>
    </row>
    <row r="7" spans="1:21" hidden="1" outlineLevel="1" x14ac:dyDescent="0.25">
      <c r="A7" s="91">
        <v>6</v>
      </c>
      <c r="B7" s="66" t="str">
        <v>Sengestald med spalter (kanal, bagskyl eller ringkanal)</v>
      </c>
      <c r="C7" s="44" t="str">
        <v>100% gyllesystem</v>
      </c>
      <c r="D7" s="44">
        <v>0.2</v>
      </c>
      <c r="E7" s="44">
        <v>0</v>
      </c>
      <c r="F7" s="44" t="str">
        <v>IPCC, 2019 - TABLE 10.21, EF3</v>
      </c>
      <c r="G7" s="44">
        <v>13.5</v>
      </c>
      <c r="H7" s="44">
        <v>0</v>
      </c>
      <c r="I7" s="44" t="str">
        <v>Normtal, AU</v>
      </c>
      <c r="J7" s="44">
        <v>0.2</v>
      </c>
      <c r="K7" s="44">
        <v>0</v>
      </c>
      <c r="L7" s="44" t="str">
        <v>Dammgen &amp; Hutchings, 2008</v>
      </c>
      <c r="M7" s="208">
        <v>0.6</v>
      </c>
      <c r="N7" s="44">
        <v>0</v>
      </c>
      <c r="O7" s="44" t="str">
        <v>Vinther, F.P, 2005</v>
      </c>
      <c r="P7" s="44">
        <v>0</v>
      </c>
      <c r="Q7" s="44" t="str">
        <v>Forsuring</v>
      </c>
      <c r="R7" s="44">
        <v>-0.6</v>
      </c>
      <c r="S7" s="44">
        <v>0</v>
      </c>
      <c r="T7" s="44" t="str">
        <v>Miljøstyrelsen, besøg 26. nov 2020 og personlig kommentar fra Torkild Birkemose, SEGES - https://mst.dk/erhverv/landbrug/miljoeteknologi-og-bat/teknologilisten/gaa-til-teknologilisten/staldindretning/    or Olesen et al.. 2018</v>
      </c>
      <c r="U7" s="65">
        <v>0</v>
      </c>
    </row>
    <row r="8" spans="1:21" hidden="1" outlineLevel="1" x14ac:dyDescent="0.25">
      <c r="A8" s="91">
        <v>7</v>
      </c>
      <c r="B8" s="66" t="str">
        <v>Sengestald med fast gulv</v>
      </c>
      <c r="C8" s="44" t="str">
        <v>100% gyllesystem</v>
      </c>
      <c r="D8" s="44">
        <v>0.2</v>
      </c>
      <c r="E8" s="44">
        <v>0</v>
      </c>
      <c r="F8" s="44" t="str">
        <v>IPCC, 2019 - TABLE 10.21, EF3</v>
      </c>
      <c r="G8" s="44">
        <v>20</v>
      </c>
      <c r="H8" s="44">
        <v>0</v>
      </c>
      <c r="I8" s="44" t="str">
        <v>Normtal, AU</v>
      </c>
      <c r="J8" s="44">
        <v>0.2</v>
      </c>
      <c r="K8" s="44">
        <v>0</v>
      </c>
      <c r="L8" s="44" t="str">
        <v>Dammgen &amp; Hutchings, 2008</v>
      </c>
      <c r="M8" s="208">
        <v>0.6</v>
      </c>
      <c r="N8" s="44">
        <v>0</v>
      </c>
      <c r="O8" s="44" t="str">
        <v>Vinther, F.P, 2005</v>
      </c>
      <c r="P8" s="44">
        <v>0</v>
      </c>
      <c r="Q8" s="44" t="str">
        <v>Biogas</v>
      </c>
      <c r="R8" s="44">
        <v>-0.4</v>
      </c>
      <c r="S8" s="44">
        <v>0</v>
      </c>
      <c r="T8" s="44" t="str">
        <v>Nielsen et al. 2020</v>
      </c>
      <c r="U8" s="65">
        <v>0</v>
      </c>
    </row>
    <row r="9" spans="1:21" hidden="1" outlineLevel="1" x14ac:dyDescent="0.25">
      <c r="A9" s="91">
        <v>8</v>
      </c>
      <c r="B9" s="66" t="str">
        <v>Sengestald med fast drænet gulv</v>
      </c>
      <c r="C9" s="44" t="str">
        <v>100% gyllesystem</v>
      </c>
      <c r="D9" s="44">
        <v>0.2</v>
      </c>
      <c r="E9" s="44">
        <v>0</v>
      </c>
      <c r="F9" s="44" t="str">
        <v>IPCC, 2019 - TABLE 10.21, EF3</v>
      </c>
      <c r="G9" s="44">
        <v>10.4</v>
      </c>
      <c r="H9" s="44">
        <v>0</v>
      </c>
      <c r="I9" s="44" t="str">
        <v>Normtal, AU</v>
      </c>
      <c r="J9" s="44">
        <v>0.2</v>
      </c>
      <c r="K9" s="44">
        <v>0</v>
      </c>
      <c r="L9" s="44" t="str">
        <v>Dammgen &amp; Hutchings, 2008</v>
      </c>
      <c r="M9" s="208">
        <v>0.6</v>
      </c>
      <c r="N9" s="44">
        <v>0</v>
      </c>
      <c r="O9" s="44" t="str">
        <v>Vinther, F.P, 2005</v>
      </c>
      <c r="P9" s="44">
        <v>0</v>
      </c>
      <c r="Q9" s="44" t="str">
        <v>Dybstrøelse</v>
      </c>
      <c r="R9" s="44">
        <v>21</v>
      </c>
      <c r="S9" s="44">
        <v>0</v>
      </c>
      <c r="T9" s="44" t="str">
        <v>IPCC, 2019 - TABLE 10.17</v>
      </c>
      <c r="U9" s="65">
        <v>0</v>
      </c>
    </row>
    <row r="10" spans="1:21" hidden="1" outlineLevel="1" x14ac:dyDescent="0.25">
      <c r="A10" s="91">
        <v>9</v>
      </c>
      <c r="B10" s="66">
        <v>0</v>
      </c>
      <c r="C10" s="44">
        <v>0</v>
      </c>
      <c r="D10" s="44">
        <v>0</v>
      </c>
      <c r="E10" s="44">
        <v>0</v>
      </c>
      <c r="F10" s="44">
        <v>0</v>
      </c>
      <c r="G10" s="44">
        <v>0</v>
      </c>
      <c r="H10" s="44">
        <v>0</v>
      </c>
      <c r="I10" s="44">
        <v>0</v>
      </c>
      <c r="J10" s="44">
        <v>0</v>
      </c>
      <c r="K10" s="44">
        <v>0</v>
      </c>
      <c r="L10" s="44">
        <v>0</v>
      </c>
      <c r="M10" s="208">
        <v>0</v>
      </c>
      <c r="N10" s="44">
        <v>0</v>
      </c>
      <c r="O10" s="44">
        <v>0</v>
      </c>
      <c r="P10" s="44">
        <v>0</v>
      </c>
      <c r="Q10" s="44" t="str">
        <v>Afgræsning</v>
      </c>
      <c r="R10" s="44">
        <v>0.47</v>
      </c>
      <c r="S10" s="44">
        <v>0</v>
      </c>
      <c r="T10" s="44" t="str">
        <v>IPCC, 2019 - TABLE 10.17  (0.47%)</v>
      </c>
      <c r="U10" s="65">
        <v>0</v>
      </c>
    </row>
    <row r="11" spans="1:21" hidden="1" outlineLevel="1" x14ac:dyDescent="0.25">
      <c r="A11" s="91">
        <v>10</v>
      </c>
      <c r="B11" s="66" t="str">
        <v>Dybstrøelse (hele arealet)</v>
      </c>
      <c r="C11" s="44" t="str">
        <v>100 % dybstrøelsessystem</v>
      </c>
      <c r="D11" s="44">
        <v>0</v>
      </c>
      <c r="E11" s="44">
        <v>1</v>
      </c>
      <c r="F11" s="44" t="str">
        <v xml:space="preserve">IPCC, 2019 - TABLE 10.21 </v>
      </c>
      <c r="G11" s="44">
        <v>0</v>
      </c>
      <c r="H11" s="44">
        <v>6</v>
      </c>
      <c r="I11" s="44" t="str">
        <v>Normtal, AU</v>
      </c>
      <c r="J11" s="44">
        <v>0</v>
      </c>
      <c r="K11" s="44">
        <v>1</v>
      </c>
      <c r="L11" s="44" t="str">
        <v>Dammgen &amp; Hutchings, 2008</v>
      </c>
      <c r="M11" s="208">
        <v>0</v>
      </c>
      <c r="N11" s="44">
        <v>0.1</v>
      </c>
      <c r="O11" s="44" t="str">
        <v>Vinther, F.P, 2005</v>
      </c>
      <c r="P11" s="44">
        <v>0</v>
      </c>
      <c r="Q11" s="44">
        <v>0</v>
      </c>
      <c r="R11" s="44">
        <v>0</v>
      </c>
      <c r="S11" s="44">
        <v>0</v>
      </c>
      <c r="T11" s="44">
        <v>0</v>
      </c>
      <c r="U11" s="65">
        <v>0</v>
      </c>
    </row>
    <row r="12" spans="1:21" hidden="1" outlineLevel="1" x14ac:dyDescent="0.25">
      <c r="A12" s="91">
        <v>11</v>
      </c>
      <c r="B12" s="66" t="str">
        <v>Dybstrøelse, kort ædeplads</v>
      </c>
      <c r="C12" s="44" t="str">
        <v>100 % dybstrøelsessystem</v>
      </c>
      <c r="D12" s="44">
        <v>0</v>
      </c>
      <c r="E12" s="44">
        <v>1</v>
      </c>
      <c r="F12" s="44" t="str">
        <v>IPCC, 2019 - TABLE 10.21, EF3</v>
      </c>
      <c r="G12" s="44">
        <v>0</v>
      </c>
      <c r="H12" s="44">
        <v>6</v>
      </c>
      <c r="I12" s="44" t="str">
        <v>Normtal, AU</v>
      </c>
      <c r="J12" s="44">
        <v>0</v>
      </c>
      <c r="K12" s="44">
        <v>1</v>
      </c>
      <c r="L12" s="44" t="str">
        <v>Dammgen &amp; Hutchings, 2008</v>
      </c>
      <c r="M12" s="208">
        <v>0</v>
      </c>
      <c r="N12" s="44">
        <v>0.1</v>
      </c>
      <c r="O12" s="44" t="str">
        <v>Vinther, F.P, 2005</v>
      </c>
      <c r="P12" s="44">
        <v>0</v>
      </c>
      <c r="Q12" s="44" t="str">
        <v>Omregning fra emissionsgas til CO2 eq</v>
      </c>
      <c r="R12" s="44">
        <v>0</v>
      </c>
      <c r="S12" s="44">
        <v>0</v>
      </c>
      <c r="T12" s="44" t="str">
        <v>Reference</v>
      </c>
      <c r="U12" s="65">
        <v>0</v>
      </c>
    </row>
    <row r="13" spans="1:21" hidden="1" outlineLevel="1" x14ac:dyDescent="0.25">
      <c r="A13" s="91">
        <v>12</v>
      </c>
      <c r="B13" s="66" t="str">
        <v>Dybstrøelse, lang ædeplads med fast gulv</v>
      </c>
      <c r="C13" s="44" t="str">
        <v>60 % dybstrøelsessystem - 40 % gyllesystem</v>
      </c>
      <c r="D13" s="44">
        <v>0.2</v>
      </c>
      <c r="E13" s="44">
        <v>1</v>
      </c>
      <c r="F13" s="44" t="str">
        <v>IPCC, 2019 - TABLE 10.21, EF3</v>
      </c>
      <c r="G13" s="44">
        <v>20</v>
      </c>
      <c r="H13" s="44">
        <v>6</v>
      </c>
      <c r="I13" s="44" t="str">
        <v>Normtal, AU</v>
      </c>
      <c r="J13" s="44">
        <v>0.2</v>
      </c>
      <c r="K13" s="44">
        <v>1</v>
      </c>
      <c r="L13" s="44" t="str">
        <v>Dammgen &amp; Hutchings, 2008</v>
      </c>
      <c r="M13" s="208">
        <v>0.6</v>
      </c>
      <c r="N13" s="44">
        <v>0.1</v>
      </c>
      <c r="O13" s="44" t="str">
        <v>Vinther, F.P, 2005</v>
      </c>
      <c r="P13" s="44">
        <v>0</v>
      </c>
      <c r="Q13" s="44" t="str">
        <v>Lattergas</v>
      </c>
      <c r="R13" s="44">
        <v>273</v>
      </c>
      <c r="S13" s="44" t="str">
        <v>CO2eq</v>
      </c>
      <c r="T13" s="44" t="str">
        <v>IPCC, 2021. IPCC_AR6_WGI_Full_Report, The Physical Science Basis</v>
      </c>
      <c r="U13" s="65">
        <v>0</v>
      </c>
    </row>
    <row r="14" spans="1:21" hidden="1" outlineLevel="1" x14ac:dyDescent="0.25">
      <c r="A14" s="91">
        <v>13</v>
      </c>
      <c r="B14" s="66" t="str">
        <v>Dybstrøelse, lang ædeplads med spalter (kanal, linespil)</v>
      </c>
      <c r="C14" s="44" t="str">
        <v>60 % dybstrøelsessystem - 40 % gyllesystem</v>
      </c>
      <c r="D14" s="44">
        <v>0.2</v>
      </c>
      <c r="E14" s="44">
        <v>1</v>
      </c>
      <c r="F14" s="44" t="str">
        <v>IPCC, 2019 - TABLE 10.21, EF3</v>
      </c>
      <c r="G14" s="44">
        <v>12</v>
      </c>
      <c r="H14" s="44">
        <v>6</v>
      </c>
      <c r="I14" s="44" t="str">
        <v>Normtal, AU</v>
      </c>
      <c r="J14" s="44">
        <v>0.2</v>
      </c>
      <c r="K14" s="44">
        <v>1</v>
      </c>
      <c r="L14" s="44" t="str">
        <v>Dammgen &amp; Hutchings, 2008</v>
      </c>
      <c r="M14" s="208">
        <v>0.6</v>
      </c>
      <c r="N14" s="44">
        <v>0.1</v>
      </c>
      <c r="O14" s="44" t="str">
        <v>Vinther, F.P, 2005</v>
      </c>
      <c r="P14" s="44">
        <v>0</v>
      </c>
      <c r="Q14" s="44" t="str">
        <v>Metan</v>
      </c>
      <c r="R14" s="44">
        <v>27.9</v>
      </c>
      <c r="S14" s="44" t="str">
        <v>CO2eq</v>
      </c>
      <c r="T14" s="44" t="str">
        <v>IPCC, 2021. IPCC_AR6_WGI_Full_Report, The Physical Science Basis</v>
      </c>
      <c r="U14" s="65">
        <v>0</v>
      </c>
    </row>
    <row r="15" spans="1:21" hidden="1" outlineLevel="1" x14ac:dyDescent="0.25">
      <c r="A15" s="91">
        <v>14</v>
      </c>
      <c r="B15" s="66" t="str">
        <v>Dybstrøelse, lang ædeplads med spalter (kanal, bagskyl eller ringkanal)</v>
      </c>
      <c r="C15" s="44" t="str">
        <v>60 % dybstrøelsessystem - 40 % gyllesystem</v>
      </c>
      <c r="D15" s="44">
        <v>0.2</v>
      </c>
      <c r="E15" s="44">
        <v>1</v>
      </c>
      <c r="F15" s="44" t="str">
        <v>IPCC, 2019 - TABLE 10.21, EF3</v>
      </c>
      <c r="G15" s="44">
        <v>13.5</v>
      </c>
      <c r="H15" s="44">
        <v>6</v>
      </c>
      <c r="I15" s="44" t="str">
        <v>Normtal, AU</v>
      </c>
      <c r="J15" s="44">
        <v>0.2</v>
      </c>
      <c r="K15" s="44">
        <v>1</v>
      </c>
      <c r="L15" s="44" t="str">
        <v>Dammgen &amp; Hutchings, 2008</v>
      </c>
      <c r="M15" s="208">
        <v>0.6</v>
      </c>
      <c r="N15" s="44">
        <v>0.1</v>
      </c>
      <c r="O15" s="44" t="str">
        <v>Vinther, F.P, 2005</v>
      </c>
      <c r="P15" s="44">
        <v>0</v>
      </c>
      <c r="Q15" s="44">
        <v>0</v>
      </c>
      <c r="R15" s="44">
        <v>0</v>
      </c>
      <c r="S15" s="44">
        <v>0</v>
      </c>
      <c r="T15" s="44">
        <v>0</v>
      </c>
      <c r="U15" s="65">
        <v>0</v>
      </c>
    </row>
    <row r="16" spans="1:21" hidden="1" outlineLevel="1" x14ac:dyDescent="0.25">
      <c r="A16" s="91">
        <v>15</v>
      </c>
      <c r="B16" s="66" t="str">
        <v>Dybstrøelse, lang ædeplads, fast drænet gulv med skraber og ajleafløb</v>
      </c>
      <c r="C16" s="44" t="str">
        <v>60 % dybstrøelsessystem - 40 % gyllesystem</v>
      </c>
      <c r="D16" s="44">
        <v>0.2</v>
      </c>
      <c r="E16" s="44">
        <v>1</v>
      </c>
      <c r="F16" s="44" t="str">
        <v>IPCC, 2019 - TABLE 10.21, EF3</v>
      </c>
      <c r="G16" s="44">
        <v>0</v>
      </c>
      <c r="H16" s="44">
        <v>0</v>
      </c>
      <c r="I16" s="44">
        <v>0</v>
      </c>
      <c r="J16" s="44">
        <v>0</v>
      </c>
      <c r="K16" s="44">
        <v>0</v>
      </c>
      <c r="L16" s="44">
        <v>0</v>
      </c>
      <c r="M16" s="208">
        <v>0</v>
      </c>
      <c r="N16" s="44">
        <v>0</v>
      </c>
      <c r="O16" s="44">
        <v>0</v>
      </c>
      <c r="P16" s="44">
        <v>0</v>
      </c>
      <c r="Q16" s="44">
        <v>0</v>
      </c>
      <c r="R16" s="44">
        <v>0</v>
      </c>
      <c r="S16" s="44">
        <v>0</v>
      </c>
      <c r="T16" s="44" t="str">
        <v>Reference</v>
      </c>
      <c r="U16" s="65">
        <v>0</v>
      </c>
    </row>
    <row r="17" spans="1:21" hidden="1" outlineLevel="1" x14ac:dyDescent="0.25">
      <c r="A17" s="91">
        <v>16</v>
      </c>
      <c r="B17" s="66" t="str">
        <v>Spaltegulvsbokse</v>
      </c>
      <c r="C17" s="44" t="str">
        <v>100 % gylle</v>
      </c>
      <c r="D17" s="44">
        <v>0.2</v>
      </c>
      <c r="E17" s="44">
        <v>0</v>
      </c>
      <c r="F17" s="44" t="str">
        <v>IPCC, 2019 - TABLE 10.21, EF3</v>
      </c>
      <c r="G17" s="44">
        <v>16</v>
      </c>
      <c r="H17" s="44">
        <v>0</v>
      </c>
      <c r="I17" s="44" t="str">
        <v>Normtal, AU</v>
      </c>
      <c r="J17" s="44">
        <v>0</v>
      </c>
      <c r="K17" s="44">
        <v>0</v>
      </c>
      <c r="L17" s="44">
        <v>0</v>
      </c>
      <c r="M17" s="208">
        <v>0</v>
      </c>
      <c r="N17" s="44">
        <v>0</v>
      </c>
      <c r="O17" s="44">
        <v>0</v>
      </c>
      <c r="P17" s="44">
        <v>0</v>
      </c>
      <c r="Q17" s="44" t="str">
        <v>Antal dage gylle i stalden</v>
      </c>
      <c r="R17" s="44">
        <v>182.5</v>
      </c>
      <c r="S17" s="44" t="str">
        <v>days</v>
      </c>
      <c r="T17" s="44" t="str">
        <v>assumption</v>
      </c>
      <c r="U17" s="65">
        <v>0</v>
      </c>
    </row>
    <row r="18" spans="1:21" hidden="1" outlineLevel="1" x14ac:dyDescent="0.25">
      <c r="A18" s="91">
        <v>17</v>
      </c>
      <c r="B18" s="66">
        <v>0</v>
      </c>
      <c r="C18" s="44">
        <v>0</v>
      </c>
      <c r="D18" s="44">
        <v>0</v>
      </c>
      <c r="E18" s="44">
        <v>0</v>
      </c>
      <c r="F18" s="44">
        <v>0</v>
      </c>
      <c r="G18" s="44">
        <v>0</v>
      </c>
      <c r="H18" s="44" t="str">
        <v>NH3, % af total-N ab dyr (FracGASM)</v>
      </c>
      <c r="I18" s="44">
        <v>0</v>
      </c>
      <c r="J18" s="44">
        <v>0</v>
      </c>
      <c r="K18" s="44">
        <v>0</v>
      </c>
      <c r="L18" s="44">
        <v>0</v>
      </c>
      <c r="M18" s="208">
        <v>0</v>
      </c>
      <c r="N18" s="44">
        <v>0</v>
      </c>
      <c r="O18" s="44">
        <v>0</v>
      </c>
      <c r="P18" s="44">
        <v>0</v>
      </c>
      <c r="Q18" s="44">
        <v>0</v>
      </c>
      <c r="R18" s="44">
        <v>0</v>
      </c>
      <c r="S18" s="44">
        <v>0</v>
      </c>
      <c r="T18" s="44">
        <v>0</v>
      </c>
      <c r="U18" s="65">
        <v>0</v>
      </c>
    </row>
    <row r="19" spans="1:21" hidden="1" outlineLevel="1" x14ac:dyDescent="0.25">
      <c r="A19" s="91">
        <v>18</v>
      </c>
      <c r="B19" s="66" t="str">
        <v>Afgræsning</v>
      </c>
      <c r="C19" s="44">
        <v>0</v>
      </c>
      <c r="D19" s="44">
        <v>0.4</v>
      </c>
      <c r="E19" s="44">
        <v>0</v>
      </c>
      <c r="F19" s="44" t="str">
        <v>IPCC, 2019 - TABLE 11.1, EF3prp, cpp</v>
      </c>
      <c r="G19" s="44">
        <v>0</v>
      </c>
      <c r="H19" s="44">
        <v>0.21</v>
      </c>
      <c r="I19" s="44" t="str">
        <v>IPCC, 2019 - TABLE 11.3, FracGASM</v>
      </c>
      <c r="J19" s="44">
        <v>0.2</v>
      </c>
      <c r="K19" s="44">
        <v>0</v>
      </c>
      <c r="L19" s="44" t="str">
        <v>Dammgen &amp; Hutchings, 2008</v>
      </c>
      <c r="M19" s="208">
        <v>6</v>
      </c>
      <c r="N19" s="44">
        <v>0</v>
      </c>
      <c r="O19" s="44" t="str">
        <v>Vinther, F.P, 2005</v>
      </c>
      <c r="P19" s="44">
        <v>0</v>
      </c>
      <c r="Q19" s="44" t="str">
        <v>[N volatilisation and re-deposition]</v>
      </c>
      <c r="R19" s="44">
        <v>0</v>
      </c>
      <c r="S19" s="44">
        <v>0</v>
      </c>
      <c r="T19" s="44" t="str">
        <v>Reference</v>
      </c>
      <c r="U19" s="65">
        <v>0</v>
      </c>
    </row>
    <row r="20" spans="1:21" hidden="1" outlineLevel="1" x14ac:dyDescent="0.25">
      <c r="A20" s="91">
        <v>19</v>
      </c>
      <c r="B20" s="66">
        <v>0</v>
      </c>
      <c r="C20" s="44">
        <v>0</v>
      </c>
      <c r="D20" s="44">
        <v>0</v>
      </c>
      <c r="E20" s="44">
        <v>0</v>
      </c>
      <c r="F20" s="44">
        <v>0</v>
      </c>
      <c r="G20" s="44">
        <v>0</v>
      </c>
      <c r="H20" s="44">
        <v>0</v>
      </c>
      <c r="I20" s="44">
        <v>0</v>
      </c>
      <c r="J20" s="44">
        <v>0</v>
      </c>
      <c r="K20" s="44">
        <v>0</v>
      </c>
      <c r="L20" s="44">
        <v>0</v>
      </c>
      <c r="M20" s="208">
        <v>0</v>
      </c>
      <c r="N20" s="44">
        <v>0</v>
      </c>
      <c r="O20" s="44">
        <v>0</v>
      </c>
      <c r="P20" s="44">
        <v>0</v>
      </c>
      <c r="Q20" s="44" t="str">
        <v>EF4</v>
      </c>
      <c r="R20" s="44">
        <v>0.01</v>
      </c>
      <c r="S20" s="44" t="str">
        <v>kg N2O–N (kg NH3–N + NOX–N volatilised)-1</v>
      </c>
      <c r="T20" s="44" t="str">
        <v>IPCC, 2019 - TABLE 11.3</v>
      </c>
      <c r="U20" s="65">
        <v>0</v>
      </c>
    </row>
    <row r="21" spans="1:21" hidden="1" outlineLevel="1" x14ac:dyDescent="0.25">
      <c r="A21" s="91">
        <v>20</v>
      </c>
      <c r="B21" s="66" t="str">
        <v>Lager - gyllesystem</v>
      </c>
      <c r="C21" s="44">
        <v>0</v>
      </c>
      <c r="D21" s="44">
        <v>0</v>
      </c>
      <c r="E21" s="44">
        <v>0</v>
      </c>
      <c r="F21" s="44">
        <v>0</v>
      </c>
      <c r="G21" s="44">
        <v>0</v>
      </c>
      <c r="H21" s="44">
        <v>0</v>
      </c>
      <c r="I21" s="44">
        <v>0</v>
      </c>
      <c r="J21" s="44">
        <v>0</v>
      </c>
      <c r="K21" s="44">
        <v>0</v>
      </c>
      <c r="L21" s="44">
        <v>0</v>
      </c>
      <c r="M21" s="208">
        <v>0</v>
      </c>
      <c r="N21" s="44">
        <v>0</v>
      </c>
      <c r="O21" s="44">
        <v>0</v>
      </c>
      <c r="P21" s="44">
        <v>0</v>
      </c>
      <c r="Q21" s="44" t="str">
        <v>[leaching/ runoff]</v>
      </c>
      <c r="R21" s="44">
        <v>0</v>
      </c>
      <c r="S21" s="44">
        <v>0</v>
      </c>
      <c r="T21" s="44" t="str">
        <v>Reference</v>
      </c>
      <c r="U21" s="65">
        <v>0</v>
      </c>
    </row>
    <row r="22" spans="1:21" hidden="1" outlineLevel="1" x14ac:dyDescent="0.25">
      <c r="A22" s="91">
        <v>21</v>
      </c>
      <c r="B22" s="66" t="str">
        <v>Gylle med flydelag el. lign.</v>
      </c>
      <c r="C22" s="44">
        <v>0</v>
      </c>
      <c r="D22" s="44">
        <v>0.5</v>
      </c>
      <c r="E22" s="44">
        <v>0</v>
      </c>
      <c r="F22" s="44" t="str">
        <v>IPCC, 2019 - TABLE 10.21</v>
      </c>
      <c r="G22" s="44">
        <v>3.4</v>
      </c>
      <c r="H22" s="44">
        <v>2</v>
      </c>
      <c r="I22" s="44" t="str">
        <v>Hansen et al. 2008</v>
      </c>
      <c r="J22" s="44">
        <v>0</v>
      </c>
      <c r="K22" s="44">
        <v>0</v>
      </c>
      <c r="L22" s="44">
        <v>0</v>
      </c>
      <c r="M22" s="208">
        <v>0</v>
      </c>
      <c r="N22" s="44">
        <v>0</v>
      </c>
      <c r="O22" s="44">
        <v>0</v>
      </c>
      <c r="P22" s="44">
        <v>0</v>
      </c>
      <c r="Q22" s="44" t="str">
        <v>EF5</v>
      </c>
      <c r="R22" s="44">
        <v>1.0999999999999999E-2</v>
      </c>
      <c r="S22" s="44" t="str">
        <v>kg N2O–N (kg N leaching/runoff)-1</v>
      </c>
      <c r="T22" s="44" t="str">
        <v>IPCC, 2019 - TABLE 11.3</v>
      </c>
      <c r="U22" s="65">
        <v>0</v>
      </c>
    </row>
    <row r="23" spans="1:21" hidden="1" outlineLevel="1" x14ac:dyDescent="0.25">
      <c r="A23" s="91">
        <v>22</v>
      </c>
      <c r="B23" s="66" t="str">
        <v>Dybstrøelse med overdækning</v>
      </c>
      <c r="C23" s="44">
        <v>0</v>
      </c>
      <c r="D23" s="44">
        <v>0</v>
      </c>
      <c r="E23" s="44">
        <v>1</v>
      </c>
      <c r="F23" s="44" t="str">
        <v xml:space="preserve">IPCC, 2019 - TABLE 10.21 </v>
      </c>
      <c r="G23" s="44">
        <v>0</v>
      </c>
      <c r="H23" s="44">
        <v>3</v>
      </c>
      <c r="I23" s="44" t="str">
        <v>Hansen et al. 2008</v>
      </c>
      <c r="J23" s="44">
        <v>0</v>
      </c>
      <c r="K23" s="44">
        <v>0</v>
      </c>
      <c r="L23" s="44">
        <v>0</v>
      </c>
      <c r="M23" s="208">
        <v>0</v>
      </c>
      <c r="N23" s="44">
        <v>0</v>
      </c>
      <c r="O23" s="44">
        <v>0</v>
      </c>
      <c r="P23" s="44">
        <v>0</v>
      </c>
      <c r="Q23" s="44" t="str">
        <v>FracLEACH</v>
      </c>
      <c r="R23" s="44">
        <v>0.24</v>
      </c>
      <c r="S23" s="44" t="str">
        <v>kg N losses by leaching/runoff</v>
      </c>
      <c r="T23" s="44" t="str">
        <v>IPCC, 2019 - TABLE 11.3</v>
      </c>
      <c r="U23" s="65">
        <v>0</v>
      </c>
    </row>
    <row r="24" spans="1:21" hidden="1" outlineLevel="1" x14ac:dyDescent="0.25">
      <c r="A24" s="91">
        <v>23</v>
      </c>
      <c r="B24" s="66">
        <v>0</v>
      </c>
      <c r="C24" s="44">
        <v>0</v>
      </c>
      <c r="D24" s="44">
        <v>0</v>
      </c>
      <c r="E24" s="44">
        <v>0</v>
      </c>
      <c r="F24" s="44">
        <v>0</v>
      </c>
      <c r="G24" s="44">
        <v>0</v>
      </c>
      <c r="H24" s="44">
        <v>0</v>
      </c>
      <c r="I24" s="44">
        <v>0</v>
      </c>
      <c r="J24" s="44">
        <v>0</v>
      </c>
      <c r="K24" s="44">
        <v>0</v>
      </c>
      <c r="L24" s="44">
        <v>0</v>
      </c>
      <c r="M24" s="208">
        <v>0</v>
      </c>
      <c r="N24" s="44">
        <v>0</v>
      </c>
      <c r="O24" s="44">
        <v>0</v>
      </c>
      <c r="P24" s="44">
        <v>0</v>
      </c>
      <c r="Q24" s="44">
        <v>0</v>
      </c>
      <c r="R24" s="44">
        <v>0</v>
      </c>
      <c r="S24" s="44">
        <v>0</v>
      </c>
      <c r="T24" s="44">
        <v>0</v>
      </c>
      <c r="U24" s="65">
        <v>0</v>
      </c>
    </row>
    <row r="25" spans="1:21" hidden="1" outlineLevel="1" x14ac:dyDescent="0.25">
      <c r="A25" s="91">
        <v>24</v>
      </c>
      <c r="B25" s="66" t="str">
        <v>Virkemidler</v>
      </c>
      <c r="C25" s="44">
        <v>0</v>
      </c>
      <c r="D25" s="44">
        <v>0</v>
      </c>
      <c r="E25" s="44">
        <v>0</v>
      </c>
      <c r="F25" s="44">
        <v>0</v>
      </c>
      <c r="G25" s="44">
        <v>0</v>
      </c>
      <c r="H25" s="44">
        <v>0</v>
      </c>
      <c r="I25" s="44">
        <v>0</v>
      </c>
      <c r="J25" s="44">
        <v>0</v>
      </c>
      <c r="K25" s="44">
        <v>0</v>
      </c>
      <c r="L25" s="44">
        <v>0</v>
      </c>
      <c r="M25" s="208">
        <v>0</v>
      </c>
      <c r="N25" s="44">
        <v>0</v>
      </c>
      <c r="O25" s="44">
        <v>0</v>
      </c>
      <c r="P25" s="44">
        <v>0</v>
      </c>
      <c r="Q25" s="44">
        <v>0</v>
      </c>
      <c r="R25" s="44">
        <v>0</v>
      </c>
      <c r="S25" s="44">
        <v>0</v>
      </c>
      <c r="T25" s="44">
        <v>0</v>
      </c>
      <c r="U25" s="65">
        <v>0</v>
      </c>
    </row>
    <row r="26" spans="1:21" hidden="1" outlineLevel="1" x14ac:dyDescent="0.25">
      <c r="A26" s="91">
        <v>25</v>
      </c>
      <c r="B26" s="66" t="str">
        <v>Afgasset gylle med flydelag el. lign.</v>
      </c>
      <c r="C26" s="44">
        <v>0</v>
      </c>
      <c r="D26" s="44">
        <v>0.5</v>
      </c>
      <c r="E26" s="44" t="str">
        <v>IPCC, 2006 modified by Martin Øvli*</v>
      </c>
      <c r="F26" s="44">
        <v>0</v>
      </c>
      <c r="G26" s="44">
        <v>0.5</v>
      </c>
      <c r="H26" s="44">
        <v>0</v>
      </c>
      <c r="I26" s="44" t="str">
        <v>Hansen et al., 2008</v>
      </c>
      <c r="J26" s="44">
        <v>0</v>
      </c>
      <c r="K26" s="44">
        <v>0</v>
      </c>
      <c r="L26" s="44">
        <v>0</v>
      </c>
      <c r="M26" s="208">
        <v>0</v>
      </c>
      <c r="N26" s="44">
        <v>0</v>
      </c>
      <c r="O26" s="44">
        <v>0</v>
      </c>
      <c r="P26" s="44">
        <v>0</v>
      </c>
      <c r="Q26" s="44">
        <v>0</v>
      </c>
      <c r="R26" s="44">
        <v>0</v>
      </c>
      <c r="S26" s="44">
        <v>0</v>
      </c>
      <c r="T26" s="44">
        <v>0</v>
      </c>
      <c r="U26" s="65">
        <v>0</v>
      </c>
    </row>
    <row r="27" spans="1:21" hidden="1" outlineLevel="1" x14ac:dyDescent="0.25">
      <c r="A27" s="91">
        <v>26</v>
      </c>
      <c r="B27" s="66" t="str">
        <v>Forsuring</v>
      </c>
      <c r="C27" s="44">
        <v>0</v>
      </c>
      <c r="D27" s="44">
        <v>0</v>
      </c>
      <c r="E27" s="44">
        <v>0</v>
      </c>
      <c r="F27" s="44">
        <v>0</v>
      </c>
      <c r="G27" s="44">
        <v>-0.5</v>
      </c>
      <c r="H27" s="44">
        <v>0</v>
      </c>
      <c r="I27" s="44" t="str">
        <v>Miljøstyrelsen, besøg 26. nov 2020 - https://mst.dk/erhverv/landbrug/miljoeteknologi-og-bat/teknologilisten/gaa-til-teknologilisten/staldindretning/ - For lagret angives 1 % som fordampning, hvilket er 50 % lavere end gylle med flydelag, som står til at have 2 % ammoniakfordampning af total-N</v>
      </c>
      <c r="J27" s="44">
        <v>0</v>
      </c>
      <c r="K27" s="44">
        <v>0</v>
      </c>
      <c r="L27" s="44">
        <v>0</v>
      </c>
      <c r="M27" s="208">
        <v>0</v>
      </c>
      <c r="N27" s="44">
        <v>0</v>
      </c>
      <c r="O27" s="44">
        <v>0</v>
      </c>
      <c r="P27" s="44">
        <v>0</v>
      </c>
      <c r="Q27" s="44">
        <v>0</v>
      </c>
      <c r="R27" s="44">
        <v>0</v>
      </c>
      <c r="S27" s="44">
        <v>0</v>
      </c>
      <c r="T27" s="44">
        <v>0</v>
      </c>
      <c r="U27" s="65">
        <v>0</v>
      </c>
    </row>
    <row r="28" spans="1:21" hidden="1" outlineLevel="1" x14ac:dyDescent="0.25">
      <c r="A28" s="91">
        <v>27</v>
      </c>
      <c r="B28" s="66">
        <v>0</v>
      </c>
      <c r="C28" s="44">
        <v>0</v>
      </c>
      <c r="D28" s="44">
        <v>0</v>
      </c>
      <c r="E28" s="44">
        <v>0</v>
      </c>
      <c r="F28" s="44">
        <v>0</v>
      </c>
      <c r="G28" s="44">
        <v>0</v>
      </c>
      <c r="H28" s="44">
        <v>0</v>
      </c>
      <c r="I28" s="44">
        <v>0</v>
      </c>
      <c r="J28" s="44">
        <v>0</v>
      </c>
      <c r="K28" s="44">
        <v>0</v>
      </c>
      <c r="L28" s="44">
        <v>0</v>
      </c>
      <c r="M28" s="208">
        <v>0</v>
      </c>
      <c r="N28" s="44">
        <v>0</v>
      </c>
      <c r="O28" s="44">
        <v>0</v>
      </c>
      <c r="P28" s="44">
        <v>0</v>
      </c>
      <c r="Q28" s="44">
        <v>0</v>
      </c>
      <c r="R28" s="44">
        <v>0</v>
      </c>
      <c r="S28" s="44">
        <v>0</v>
      </c>
      <c r="T28" s="44">
        <v>0</v>
      </c>
      <c r="U28" s="65">
        <v>0</v>
      </c>
    </row>
    <row r="29" spans="1:21" hidden="1" outlineLevel="1" x14ac:dyDescent="0.25">
      <c r="A29" s="91">
        <v>28</v>
      </c>
      <c r="B29" s="66">
        <v>0</v>
      </c>
      <c r="C29" s="44">
        <v>0</v>
      </c>
      <c r="D29" s="44">
        <v>0</v>
      </c>
      <c r="E29" s="44" t="str">
        <v>* I IPCC 2006 står der at der ikke er nogen lattergas emission fra afgasset gylle. Det samme er gældende når det er ubehandlet gylle. Tilføjes der flydelag til ubehandlet gylle, så stiger lattergas EF til 0,5%. Det må derfor antages afgasset gylle med flydelag også har en EF på 0,5%.</v>
      </c>
      <c r="F29" s="44">
        <v>0</v>
      </c>
      <c r="G29" s="44">
        <v>0</v>
      </c>
      <c r="H29" s="44">
        <v>0</v>
      </c>
      <c r="I29" s="44">
        <v>0</v>
      </c>
      <c r="J29" s="44">
        <v>0</v>
      </c>
      <c r="K29" s="44">
        <v>0</v>
      </c>
      <c r="L29" s="44">
        <v>0</v>
      </c>
      <c r="M29" s="208">
        <v>0</v>
      </c>
      <c r="N29" s="44">
        <v>0</v>
      </c>
      <c r="O29" s="44">
        <v>0</v>
      </c>
      <c r="P29" s="44">
        <v>0</v>
      </c>
      <c r="Q29" s="44">
        <v>0</v>
      </c>
      <c r="R29" s="44">
        <v>0</v>
      </c>
      <c r="S29" s="44">
        <v>0</v>
      </c>
      <c r="T29" s="44">
        <v>0</v>
      </c>
      <c r="U29" s="65">
        <v>0</v>
      </c>
    </row>
    <row r="30" spans="1:21" hidden="1" outlineLevel="1" x14ac:dyDescent="0.25">
      <c r="A30" s="91">
        <v>29</v>
      </c>
      <c r="B30" s="115">
        <v>0</v>
      </c>
      <c r="C30" s="24">
        <v>0</v>
      </c>
      <c r="D30" s="24">
        <v>0</v>
      </c>
      <c r="E30" s="24">
        <v>0</v>
      </c>
      <c r="F30" s="24">
        <v>0</v>
      </c>
      <c r="G30" s="24">
        <v>0</v>
      </c>
      <c r="H30" s="24">
        <v>0</v>
      </c>
      <c r="I30" s="24">
        <v>0</v>
      </c>
      <c r="J30" s="24">
        <v>0</v>
      </c>
      <c r="K30" s="24">
        <v>0</v>
      </c>
      <c r="L30" s="24">
        <v>0</v>
      </c>
      <c r="M30" s="209">
        <v>0</v>
      </c>
      <c r="N30" s="24">
        <v>0</v>
      </c>
      <c r="O30" s="24">
        <v>0</v>
      </c>
      <c r="P30" s="24">
        <v>0</v>
      </c>
      <c r="Q30" s="24">
        <v>0</v>
      </c>
      <c r="R30" s="24">
        <v>0</v>
      </c>
      <c r="S30" s="24">
        <v>0</v>
      </c>
      <c r="T30" s="24">
        <v>0</v>
      </c>
      <c r="U30" s="120">
        <v>0</v>
      </c>
    </row>
    <row r="31" spans="1:21" collapsed="1" x14ac:dyDescent="0.25"/>
    <row r="32" spans="1:21" x14ac:dyDescent="0.25">
      <c r="B32" s="12" t="s">
        <v>385</v>
      </c>
      <c r="C32" s="12"/>
      <c r="D32" s="12"/>
    </row>
    <row r="33" spans="2:37" s="316" customFormat="1" x14ac:dyDescent="0.25">
      <c r="B33" s="316" t="s">
        <v>386</v>
      </c>
      <c r="C33" s="317" t="s">
        <v>387</v>
      </c>
      <c r="D33" s="316" t="s">
        <v>388</v>
      </c>
      <c r="M33" s="361"/>
    </row>
    <row r="34" spans="2:37" s="316" customFormat="1" ht="30" x14ac:dyDescent="0.25">
      <c r="B34" s="316" t="s">
        <v>389</v>
      </c>
      <c r="C34" s="318" t="s">
        <v>390</v>
      </c>
      <c r="D34" s="316" t="s">
        <v>527</v>
      </c>
      <c r="M34" s="361"/>
    </row>
    <row r="35" spans="2:37" s="316" customFormat="1" x14ac:dyDescent="0.25">
      <c r="C35" s="318"/>
      <c r="M35" s="361"/>
    </row>
    <row r="36" spans="2:37" s="374" customFormat="1" x14ac:dyDescent="0.25">
      <c r="B36" s="372" t="s">
        <v>501</v>
      </c>
      <c r="C36" s="373"/>
    </row>
    <row r="37" spans="2:37" x14ac:dyDescent="0.25">
      <c r="B37" s="316" t="s">
        <v>502</v>
      </c>
      <c r="C37" s="547" t="s">
        <v>670</v>
      </c>
      <c r="E37" s="280"/>
      <c r="F37" s="130"/>
    </row>
    <row r="38" spans="2:37" x14ac:dyDescent="0.25">
      <c r="B38" s="316"/>
      <c r="C38" t="s">
        <v>503</v>
      </c>
      <c r="E38" s="280"/>
      <c r="F38" s="130"/>
      <c r="M38" s="513"/>
    </row>
    <row r="39" spans="2:37" x14ac:dyDescent="0.25">
      <c r="B39" s="316"/>
      <c r="C39" s="359"/>
      <c r="E39" s="280"/>
      <c r="F39" s="130"/>
      <c r="M39" s="362"/>
    </row>
    <row r="40" spans="2:37" s="385" customFormat="1" ht="21" x14ac:dyDescent="0.35">
      <c r="B40" s="386"/>
      <c r="E40" s="387" t="s">
        <v>541</v>
      </c>
      <c r="F40" s="388"/>
      <c r="G40" s="389"/>
      <c r="H40" s="389"/>
      <c r="I40" s="389"/>
      <c r="J40" s="389"/>
      <c r="K40" s="389"/>
      <c r="L40" s="389"/>
      <c r="M40" s="390"/>
      <c r="N40" s="391" t="s">
        <v>542</v>
      </c>
      <c r="O40" s="391"/>
      <c r="P40" s="391"/>
      <c r="Q40" s="391"/>
      <c r="R40" s="391"/>
      <c r="S40" s="391"/>
      <c r="T40" s="391"/>
      <c r="U40" s="391"/>
      <c r="V40" s="391"/>
      <c r="W40" s="391"/>
      <c r="X40" s="391"/>
      <c r="Y40" s="391"/>
      <c r="Z40" s="391"/>
      <c r="AA40" s="391"/>
      <c r="AB40" s="392"/>
    </row>
    <row r="41" spans="2:37" s="394" customFormat="1" ht="21" x14ac:dyDescent="0.35">
      <c r="B41" s="395"/>
      <c r="E41" s="396"/>
      <c r="F41" s="397"/>
      <c r="M41" s="398"/>
      <c r="N41" s="399"/>
      <c r="O41" s="399"/>
      <c r="P41" s="399"/>
      <c r="Q41" s="399"/>
      <c r="R41" s="399"/>
      <c r="S41" s="399"/>
      <c r="T41" s="399"/>
      <c r="U41" s="399"/>
      <c r="V41" s="399"/>
      <c r="W41" s="399"/>
      <c r="X41" s="399"/>
      <c r="Y41" s="399"/>
      <c r="Z41" s="399"/>
      <c r="AA41" s="399"/>
      <c r="AB41" s="400"/>
    </row>
    <row r="42" spans="2:37" s="394" customFormat="1" ht="21" x14ac:dyDescent="0.35">
      <c r="B42" s="395"/>
      <c r="E42" s="394" t="s">
        <v>683</v>
      </c>
      <c r="F42" s="397"/>
      <c r="M42" s="398"/>
      <c r="N42" s="399"/>
      <c r="O42" s="399"/>
      <c r="P42" s="399"/>
      <c r="Q42" s="399"/>
      <c r="R42" s="399"/>
      <c r="S42" s="399"/>
      <c r="T42" s="399"/>
      <c r="U42" s="399"/>
      <c r="V42" s="399"/>
      <c r="W42" s="399"/>
      <c r="X42" s="399"/>
      <c r="Y42" s="399"/>
      <c r="Z42" s="399"/>
      <c r="AA42" s="399"/>
      <c r="AB42" s="400"/>
    </row>
    <row r="43" spans="2:37" s="195" customFormat="1" x14ac:dyDescent="0.25">
      <c r="B43" s="377"/>
      <c r="D43" s="84"/>
      <c r="E43" s="401" t="s">
        <v>398</v>
      </c>
      <c r="F43" s="402" t="s">
        <v>399</v>
      </c>
      <c r="G43" s="403" t="s">
        <v>400</v>
      </c>
      <c r="H43" s="403" t="s">
        <v>401</v>
      </c>
      <c r="I43" s="403" t="s">
        <v>402</v>
      </c>
      <c r="J43" s="403" t="s">
        <v>122</v>
      </c>
      <c r="K43" s="403" t="s">
        <v>395</v>
      </c>
      <c r="L43" s="403" t="s">
        <v>396</v>
      </c>
      <c r="M43" s="404" t="s">
        <v>525</v>
      </c>
      <c r="N43" s="405"/>
      <c r="O43" s="405"/>
      <c r="P43" s="405"/>
      <c r="Q43" s="405"/>
      <c r="R43" s="405"/>
      <c r="S43" s="405"/>
      <c r="T43" s="405"/>
      <c r="U43" s="405"/>
      <c r="V43" s="405"/>
      <c r="W43" s="405"/>
      <c r="X43" s="405"/>
      <c r="Y43" s="405"/>
      <c r="Z43" s="405"/>
      <c r="AA43" s="405"/>
      <c r="AB43" s="406"/>
    </row>
    <row r="44" spans="2:37" s="195" customFormat="1" ht="30" x14ac:dyDescent="0.25">
      <c r="B44" s="377"/>
      <c r="D44" s="84" t="s">
        <v>678</v>
      </c>
      <c r="E44" s="407" t="s">
        <v>407</v>
      </c>
      <c r="F44" s="408" t="s">
        <v>408</v>
      </c>
      <c r="G44" s="409" t="s">
        <v>409</v>
      </c>
      <c r="H44" s="409" t="s">
        <v>410</v>
      </c>
      <c r="I44" s="409" t="s">
        <v>404</v>
      </c>
      <c r="J44" s="409" t="s">
        <v>671</v>
      </c>
      <c r="K44" s="409" t="s">
        <v>405</v>
      </c>
      <c r="L44" s="409" t="s">
        <v>411</v>
      </c>
      <c r="M44" s="410" t="s">
        <v>526</v>
      </c>
      <c r="N44" s="393" t="s">
        <v>528</v>
      </c>
      <c r="O44" s="393" t="s">
        <v>529</v>
      </c>
      <c r="P44" s="393" t="s">
        <v>530</v>
      </c>
      <c r="Q44" s="393" t="s">
        <v>531</v>
      </c>
      <c r="R44" s="393" t="s">
        <v>532</v>
      </c>
      <c r="S44" s="393" t="s">
        <v>533</v>
      </c>
      <c r="T44" s="393" t="s">
        <v>534</v>
      </c>
      <c r="U44" s="393" t="s">
        <v>535</v>
      </c>
      <c r="V44" s="393" t="s">
        <v>536</v>
      </c>
      <c r="W44" s="393" t="s">
        <v>537</v>
      </c>
      <c r="X44" s="393" t="s">
        <v>538</v>
      </c>
      <c r="Y44" s="393" t="s">
        <v>539</v>
      </c>
      <c r="Z44" s="393" t="s">
        <v>540</v>
      </c>
      <c r="AA44" s="393" t="s">
        <v>551</v>
      </c>
      <c r="AB44" s="411" t="s">
        <v>552</v>
      </c>
    </row>
    <row r="45" spans="2:37" s="195" customFormat="1" x14ac:dyDescent="0.25">
      <c r="B45" s="452" t="s">
        <v>251</v>
      </c>
      <c r="C45" s="554" t="s">
        <v>238</v>
      </c>
      <c r="D45" s="679">
        <v>150</v>
      </c>
      <c r="E45" s="680">
        <v>8.94668513524838</v>
      </c>
      <c r="F45" s="681">
        <v>13.091884972831975</v>
      </c>
      <c r="G45" s="682">
        <v>4754.3995678610818</v>
      </c>
      <c r="H45" s="682">
        <v>652.12699828858558</v>
      </c>
      <c r="I45" s="682">
        <v>1288.5980717579621</v>
      </c>
      <c r="J45" s="682">
        <v>22.038570108080357</v>
      </c>
      <c r="K45" s="682">
        <v>29.591257271533117</v>
      </c>
      <c r="L45" s="682">
        <v>331.89871458059673</v>
      </c>
      <c r="M45" s="683">
        <v>19.12441108606906</v>
      </c>
      <c r="N45" s="684">
        <v>4.7544818090350098</v>
      </c>
      <c r="O45" s="684">
        <v>0.19512547486677473</v>
      </c>
      <c r="P45" s="684">
        <v>5.1570387986459965</v>
      </c>
      <c r="Q45" s="684">
        <v>21.440273188453411</v>
      </c>
      <c r="R45" s="684">
        <v>0</v>
      </c>
      <c r="S45" s="684">
        <v>9.2249525298452415</v>
      </c>
      <c r="T45" s="684">
        <v>0</v>
      </c>
      <c r="U45" s="684">
        <v>0</v>
      </c>
      <c r="V45" s="684">
        <v>11.709341558043691</v>
      </c>
      <c r="W45" s="684">
        <v>0</v>
      </c>
      <c r="X45" s="684">
        <v>0</v>
      </c>
      <c r="Y45" s="684">
        <v>0</v>
      </c>
      <c r="Z45" s="684">
        <v>0.36055336237070545</v>
      </c>
      <c r="AA45" s="684">
        <v>6.792971361035173E-2</v>
      </c>
      <c r="AB45" s="685">
        <v>0.1</v>
      </c>
      <c r="AC45" s="145"/>
      <c r="AD45" s="145"/>
      <c r="AE45" s="145"/>
      <c r="AF45" s="145"/>
      <c r="AG45" s="145"/>
      <c r="AH45" s="145"/>
      <c r="AI45" s="145"/>
      <c r="AJ45" s="145"/>
      <c r="AK45" s="145"/>
    </row>
    <row r="46" spans="2:37" s="195" customFormat="1" x14ac:dyDescent="0.25">
      <c r="B46" s="452" t="s">
        <v>251</v>
      </c>
      <c r="C46" s="555" t="s">
        <v>673</v>
      </c>
      <c r="D46" s="666">
        <v>215</v>
      </c>
      <c r="E46" s="680"/>
      <c r="F46" s="681"/>
      <c r="G46" s="682"/>
      <c r="H46" s="682"/>
      <c r="I46" s="682"/>
      <c r="J46" s="682"/>
      <c r="K46" s="682"/>
      <c r="L46" s="682"/>
      <c r="M46" s="683"/>
      <c r="N46" s="684"/>
      <c r="O46" s="684"/>
      <c r="P46" s="684"/>
      <c r="Q46" s="684"/>
      <c r="R46" s="684"/>
      <c r="S46" s="684"/>
      <c r="T46" s="684"/>
      <c r="U46" s="684"/>
      <c r="V46" s="684"/>
      <c r="W46" s="684"/>
      <c r="X46" s="684"/>
      <c r="Y46" s="684"/>
      <c r="Z46" s="684"/>
      <c r="AA46" s="684"/>
      <c r="AB46" s="685"/>
      <c r="AC46" s="145"/>
      <c r="AD46" s="145"/>
      <c r="AE46" s="145"/>
      <c r="AF46" s="145"/>
      <c r="AG46" s="145"/>
      <c r="AH46" s="145"/>
      <c r="AI46" s="145"/>
      <c r="AJ46" s="145"/>
      <c r="AK46" s="145"/>
    </row>
    <row r="47" spans="2:37" s="195" customFormat="1" x14ac:dyDescent="0.25">
      <c r="B47" s="452" t="s">
        <v>254</v>
      </c>
      <c r="C47" s="554" t="s">
        <v>238</v>
      </c>
      <c r="D47" s="679">
        <v>180</v>
      </c>
      <c r="E47" s="680">
        <v>0.19511105492879566</v>
      </c>
      <c r="F47" s="681">
        <v>6.493480625972988</v>
      </c>
      <c r="G47" s="682">
        <v>1731.811551156163</v>
      </c>
      <c r="H47" s="682">
        <v>122.85821899158712</v>
      </c>
      <c r="I47" s="682">
        <v>562.40587107152419</v>
      </c>
      <c r="J47" s="682">
        <v>6.6885916809017827</v>
      </c>
      <c r="K47" s="682">
        <v>18.443964544721997</v>
      </c>
      <c r="L47" s="682">
        <v>397.83197421434335</v>
      </c>
      <c r="M47" s="683">
        <v>18.355645321110067</v>
      </c>
      <c r="N47" s="684">
        <v>0</v>
      </c>
      <c r="O47" s="684">
        <v>0.12948375132597933</v>
      </c>
      <c r="P47" s="684">
        <v>0</v>
      </c>
      <c r="Q47" s="684">
        <v>6.8682403201947544</v>
      </c>
      <c r="R47" s="684">
        <v>0</v>
      </c>
      <c r="S47" s="684">
        <v>0</v>
      </c>
      <c r="T47" s="684">
        <v>5.5182343267436593</v>
      </c>
      <c r="U47" s="684">
        <v>0</v>
      </c>
      <c r="V47" s="684">
        <v>10.738649661827953</v>
      </c>
      <c r="W47" s="684">
        <v>0</v>
      </c>
      <c r="X47" s="684">
        <v>0</v>
      </c>
      <c r="Y47" s="684">
        <v>0</v>
      </c>
      <c r="Z47" s="684">
        <v>0.13344077356970185</v>
      </c>
      <c r="AA47" s="684">
        <v>0.03</v>
      </c>
      <c r="AB47" s="685">
        <v>0.05</v>
      </c>
      <c r="AC47" s="145"/>
      <c r="AD47" s="145"/>
      <c r="AE47" s="145"/>
      <c r="AF47" s="145"/>
      <c r="AG47" s="145"/>
      <c r="AH47" s="145"/>
      <c r="AI47" s="145"/>
      <c r="AJ47" s="145"/>
      <c r="AK47" s="145"/>
    </row>
    <row r="48" spans="2:37" s="195" customFormat="1" x14ac:dyDescent="0.25">
      <c r="B48" s="452" t="s">
        <v>254</v>
      </c>
      <c r="C48" s="555" t="s">
        <v>673</v>
      </c>
      <c r="D48" s="666">
        <v>185</v>
      </c>
      <c r="E48" s="680"/>
      <c r="F48" s="681"/>
      <c r="G48" s="682"/>
      <c r="H48" s="682"/>
      <c r="I48" s="682"/>
      <c r="J48" s="682"/>
      <c r="K48" s="682"/>
      <c r="L48" s="682"/>
      <c r="M48" s="683"/>
      <c r="N48" s="684"/>
      <c r="O48" s="684"/>
      <c r="P48" s="684"/>
      <c r="Q48" s="684"/>
      <c r="R48" s="684"/>
      <c r="S48" s="684"/>
      <c r="T48" s="684"/>
      <c r="U48" s="684"/>
      <c r="V48" s="684"/>
      <c r="W48" s="684"/>
      <c r="X48" s="684"/>
      <c r="Y48" s="684"/>
      <c r="Z48" s="684"/>
      <c r="AA48" s="684"/>
      <c r="AB48" s="685"/>
      <c r="AC48" s="145"/>
      <c r="AD48" s="145"/>
      <c r="AE48" s="145"/>
      <c r="AF48" s="145"/>
      <c r="AG48" s="145"/>
      <c r="AH48" s="145"/>
      <c r="AI48" s="145"/>
      <c r="AJ48" s="145"/>
      <c r="AK48" s="145"/>
    </row>
    <row r="49" spans="2:37" s="195" customFormat="1" x14ac:dyDescent="0.25">
      <c r="B49" s="452" t="s">
        <v>257</v>
      </c>
      <c r="C49" s="554" t="s">
        <v>238</v>
      </c>
      <c r="D49" s="679">
        <v>180</v>
      </c>
      <c r="E49" s="680">
        <v>0.11444611443218398</v>
      </c>
      <c r="F49" s="681">
        <v>6.3420951687892515</v>
      </c>
      <c r="G49" s="682">
        <v>1743.022517570635</v>
      </c>
      <c r="H49" s="682">
        <v>112.6552942869137</v>
      </c>
      <c r="I49" s="682">
        <v>541.87968528814883</v>
      </c>
      <c r="J49" s="682">
        <v>6.4565412832214362</v>
      </c>
      <c r="K49" s="682">
        <v>17.470226446743084</v>
      </c>
      <c r="L49" s="682">
        <v>415.24419904948286</v>
      </c>
      <c r="M49" s="683">
        <v>18.308943570912557</v>
      </c>
      <c r="N49" s="684">
        <v>0</v>
      </c>
      <c r="O49" s="684">
        <v>3.874703535678739E-2</v>
      </c>
      <c r="P49" s="684">
        <v>0</v>
      </c>
      <c r="Q49" s="684">
        <v>6.4956274316172316</v>
      </c>
      <c r="R49" s="684">
        <v>0</v>
      </c>
      <c r="S49" s="684">
        <v>0</v>
      </c>
      <c r="T49" s="684">
        <v>5.0917235825274023</v>
      </c>
      <c r="U49" s="684">
        <v>0</v>
      </c>
      <c r="V49" s="684">
        <v>9.7643662748234608</v>
      </c>
      <c r="W49" s="684">
        <v>0</v>
      </c>
      <c r="X49" s="684">
        <v>0</v>
      </c>
      <c r="Y49" s="684">
        <v>0</v>
      </c>
      <c r="Z49" s="684">
        <v>0.50143753021717852</v>
      </c>
      <c r="AA49" s="684">
        <v>0.03</v>
      </c>
      <c r="AB49" s="685">
        <v>0.05</v>
      </c>
      <c r="AC49" s="145"/>
      <c r="AD49" s="145"/>
      <c r="AE49" s="145"/>
      <c r="AF49" s="145"/>
      <c r="AG49" s="145"/>
      <c r="AH49" s="145"/>
      <c r="AI49" s="145"/>
      <c r="AJ49" s="145"/>
      <c r="AK49" s="145"/>
    </row>
    <row r="50" spans="2:37" s="195" customFormat="1" x14ac:dyDescent="0.25">
      <c r="B50" s="452" t="s">
        <v>257</v>
      </c>
      <c r="C50" s="555" t="s">
        <v>673</v>
      </c>
      <c r="D50" s="666">
        <v>185</v>
      </c>
      <c r="E50" s="680"/>
      <c r="F50" s="681"/>
      <c r="G50" s="682"/>
      <c r="H50" s="682"/>
      <c r="I50" s="682"/>
      <c r="J50" s="682"/>
      <c r="K50" s="682"/>
      <c r="L50" s="682"/>
      <c r="M50" s="683"/>
      <c r="N50" s="684"/>
      <c r="O50" s="684"/>
      <c r="P50" s="684"/>
      <c r="Q50" s="684"/>
      <c r="R50" s="684"/>
      <c r="S50" s="684"/>
      <c r="T50" s="684"/>
      <c r="U50" s="684"/>
      <c r="V50" s="684"/>
      <c r="W50" s="684"/>
      <c r="X50" s="684"/>
      <c r="Y50" s="684"/>
      <c r="Z50" s="684"/>
      <c r="AA50" s="684"/>
      <c r="AB50" s="685"/>
      <c r="AC50" s="145"/>
      <c r="AD50" s="145"/>
      <c r="AE50" s="145"/>
      <c r="AF50" s="145"/>
      <c r="AG50" s="145"/>
      <c r="AH50" s="145"/>
      <c r="AI50" s="145"/>
      <c r="AJ50" s="145"/>
      <c r="AK50" s="145"/>
    </row>
    <row r="51" spans="2:37" s="195" customFormat="1" x14ac:dyDescent="0.25">
      <c r="B51" s="452" t="s">
        <v>260</v>
      </c>
      <c r="C51" s="554" t="s">
        <v>673</v>
      </c>
      <c r="D51" s="679">
        <v>365</v>
      </c>
      <c r="E51" s="680">
        <v>3.5233476814952964</v>
      </c>
      <c r="F51" s="681">
        <v>2.3001276206843353</v>
      </c>
      <c r="G51" s="682">
        <v>1137.6662893995449</v>
      </c>
      <c r="H51" s="682">
        <v>153.04930760524289</v>
      </c>
      <c r="I51" s="682">
        <v>327.80883956825443</v>
      </c>
      <c r="J51" s="682">
        <v>5.8234753021796317</v>
      </c>
      <c r="K51" s="682">
        <v>26.281438430409249</v>
      </c>
      <c r="L51" s="682">
        <v>300.55177347285417</v>
      </c>
      <c r="M51" s="683">
        <v>18.786670144792001</v>
      </c>
      <c r="N51" s="684">
        <v>3.1049443671830268</v>
      </c>
      <c r="O51" s="684">
        <v>0</v>
      </c>
      <c r="P51" s="684">
        <v>0.85779092586409456</v>
      </c>
      <c r="Q51" s="684">
        <v>4.6808835604463432</v>
      </c>
      <c r="R51" s="684">
        <v>0</v>
      </c>
      <c r="S51" s="684">
        <v>0</v>
      </c>
      <c r="T51" s="684">
        <v>0</v>
      </c>
      <c r="U51" s="684">
        <v>0</v>
      </c>
      <c r="V51" s="684">
        <v>0</v>
      </c>
      <c r="W51" s="684">
        <v>0</v>
      </c>
      <c r="X51" s="684">
        <v>0</v>
      </c>
      <c r="Y51" s="684">
        <v>0</v>
      </c>
      <c r="Z51" s="684">
        <v>0.79513061789347528</v>
      </c>
      <c r="AA51" s="684">
        <v>7.4999999999999997E-2</v>
      </c>
      <c r="AB51" s="685">
        <v>0.05</v>
      </c>
      <c r="AC51" s="145"/>
      <c r="AD51" s="145"/>
      <c r="AE51" s="145"/>
      <c r="AF51" s="145"/>
      <c r="AG51" s="145"/>
      <c r="AH51" s="145"/>
      <c r="AI51" s="145"/>
      <c r="AJ51" s="145"/>
      <c r="AK51" s="145"/>
    </row>
    <row r="52" spans="2:37" s="195" customFormat="1" x14ac:dyDescent="0.25">
      <c r="B52" s="452"/>
      <c r="C52" s="503"/>
      <c r="D52" s="666"/>
      <c r="E52" s="680"/>
      <c r="F52" s="681"/>
      <c r="G52" s="682"/>
      <c r="H52" s="682"/>
      <c r="I52" s="682"/>
      <c r="J52" s="682"/>
      <c r="K52" s="682"/>
      <c r="L52" s="682"/>
      <c r="M52" s="683"/>
      <c r="N52" s="684"/>
      <c r="O52" s="684"/>
      <c r="P52" s="684"/>
      <c r="Q52" s="684"/>
      <c r="R52" s="684"/>
      <c r="S52" s="684"/>
      <c r="T52" s="684"/>
      <c r="U52" s="682"/>
      <c r="V52" s="684"/>
      <c r="W52" s="684"/>
      <c r="X52" s="684"/>
      <c r="Y52" s="684"/>
      <c r="Z52" s="684"/>
      <c r="AA52" s="684"/>
      <c r="AB52" s="685"/>
      <c r="AC52" s="145"/>
      <c r="AD52" s="145"/>
      <c r="AE52" s="145"/>
      <c r="AF52" s="145"/>
      <c r="AG52" s="145"/>
      <c r="AH52" s="145"/>
      <c r="AI52" s="145"/>
      <c r="AJ52" s="145"/>
      <c r="AK52" s="145"/>
    </row>
    <row r="53" spans="2:37" s="195" customFormat="1" x14ac:dyDescent="0.25">
      <c r="B53" s="452" t="s">
        <v>261</v>
      </c>
      <c r="C53" s="554" t="s">
        <v>673</v>
      </c>
      <c r="D53" s="679">
        <v>365</v>
      </c>
      <c r="E53" s="680">
        <v>3.4854877468286922</v>
      </c>
      <c r="F53" s="681">
        <v>2.5327219913500372</v>
      </c>
      <c r="G53" s="682">
        <v>1202.707826293394</v>
      </c>
      <c r="H53" s="682">
        <v>172.21920498722832</v>
      </c>
      <c r="I53" s="682">
        <v>348.14998554543803</v>
      </c>
      <c r="J53" s="682">
        <v>6.0212356550820756</v>
      </c>
      <c r="K53" s="682">
        <v>28.601970567597856</v>
      </c>
      <c r="L53" s="682">
        <v>307.29900617614106</v>
      </c>
      <c r="M53" s="683">
        <v>18.838335442016767</v>
      </c>
      <c r="N53" s="684">
        <v>2.7662520162912361</v>
      </c>
      <c r="O53" s="684">
        <v>0</v>
      </c>
      <c r="P53" s="684">
        <v>1.1403090768148494</v>
      </c>
      <c r="Q53" s="684">
        <v>5.3021019721557421</v>
      </c>
      <c r="R53" s="684">
        <v>0</v>
      </c>
      <c r="S53" s="684">
        <v>0</v>
      </c>
      <c r="T53" s="684">
        <v>0</v>
      </c>
      <c r="U53" s="684">
        <v>0</v>
      </c>
      <c r="V53" s="684">
        <v>0</v>
      </c>
      <c r="W53" s="684">
        <v>0</v>
      </c>
      <c r="X53" s="684">
        <v>0</v>
      </c>
      <c r="Y53" s="684">
        <v>0</v>
      </c>
      <c r="Z53" s="684">
        <v>0.81516777295528819</v>
      </c>
      <c r="AA53" s="684">
        <v>7.4999999999999997E-2</v>
      </c>
      <c r="AB53" s="685">
        <v>0.05</v>
      </c>
      <c r="AC53" s="145"/>
      <c r="AD53" s="145"/>
      <c r="AE53" s="145"/>
      <c r="AF53" s="145"/>
      <c r="AG53" s="145"/>
      <c r="AH53" s="145"/>
      <c r="AI53" s="145"/>
      <c r="AJ53" s="145"/>
      <c r="AK53" s="145"/>
    </row>
    <row r="54" spans="2:37" s="195" customFormat="1" x14ac:dyDescent="0.25">
      <c r="B54" s="452"/>
      <c r="C54" s="503"/>
      <c r="D54" s="666"/>
      <c r="E54" s="680"/>
      <c r="F54" s="681"/>
      <c r="G54" s="682"/>
      <c r="H54" s="682"/>
      <c r="I54" s="682"/>
      <c r="J54" s="682"/>
      <c r="K54" s="682"/>
      <c r="L54" s="682"/>
      <c r="M54" s="683"/>
      <c r="N54" s="684"/>
      <c r="O54" s="684"/>
      <c r="P54" s="684"/>
      <c r="Q54" s="684"/>
      <c r="R54" s="684"/>
      <c r="S54" s="684"/>
      <c r="T54" s="684"/>
      <c r="U54" s="684"/>
      <c r="V54" s="684"/>
      <c r="W54" s="684"/>
      <c r="X54" s="684"/>
      <c r="Y54" s="684"/>
      <c r="Z54" s="684"/>
      <c r="AA54" s="684"/>
      <c r="AB54" s="685"/>
      <c r="AC54" s="145"/>
      <c r="AD54" s="145"/>
      <c r="AE54" s="145"/>
      <c r="AF54" s="145"/>
      <c r="AG54" s="145"/>
      <c r="AH54" s="145"/>
      <c r="AI54" s="145"/>
      <c r="AJ54" s="145"/>
      <c r="AK54" s="145"/>
    </row>
    <row r="55" spans="2:37" s="195" customFormat="1" x14ac:dyDescent="0.25">
      <c r="B55" s="452" t="s">
        <v>262</v>
      </c>
      <c r="C55" s="554" t="s">
        <v>238</v>
      </c>
      <c r="D55" s="679">
        <v>180</v>
      </c>
      <c r="E55" s="680">
        <v>0.3334246575342466</v>
      </c>
      <c r="F55" s="681">
        <v>6.1696010076282821</v>
      </c>
      <c r="G55" s="682">
        <v>1774.7047616349596</v>
      </c>
      <c r="H55" s="682">
        <v>127.82885735456055</v>
      </c>
      <c r="I55" s="682">
        <v>660.0261173298087</v>
      </c>
      <c r="J55" s="682">
        <v>6.5038194041298567</v>
      </c>
      <c r="K55" s="682">
        <v>19.504902862392225</v>
      </c>
      <c r="L55" s="682">
        <v>420.05639697539834</v>
      </c>
      <c r="M55" s="683">
        <v>18.934763208998724</v>
      </c>
      <c r="N55" s="684">
        <v>0.29814665592264306</v>
      </c>
      <c r="O55" s="684">
        <v>0</v>
      </c>
      <c r="P55" s="684">
        <v>0</v>
      </c>
      <c r="Q55" s="684">
        <v>0</v>
      </c>
      <c r="R55" s="684">
        <v>0</v>
      </c>
      <c r="S55" s="684">
        <v>7.7512168691843479</v>
      </c>
      <c r="T55" s="684">
        <v>0</v>
      </c>
      <c r="U55" s="684">
        <v>0</v>
      </c>
      <c r="V55" s="684">
        <v>14.437245227912452</v>
      </c>
      <c r="W55" s="684">
        <v>0</v>
      </c>
      <c r="X55" s="684">
        <v>0</v>
      </c>
      <c r="Y55" s="684">
        <v>0</v>
      </c>
      <c r="Z55" s="684">
        <v>1.0002585241415707</v>
      </c>
      <c r="AA55" s="684">
        <v>0.03</v>
      </c>
      <c r="AB55" s="685">
        <v>0.05</v>
      </c>
      <c r="AC55" s="145"/>
      <c r="AD55" s="145"/>
      <c r="AE55" s="145"/>
      <c r="AF55" s="145"/>
      <c r="AG55" s="145"/>
      <c r="AH55" s="145"/>
      <c r="AI55" s="145"/>
      <c r="AJ55" s="145"/>
      <c r="AK55" s="145"/>
    </row>
    <row r="56" spans="2:37" s="195" customFormat="1" x14ac:dyDescent="0.25">
      <c r="B56" s="452" t="s">
        <v>262</v>
      </c>
      <c r="C56" s="555" t="s">
        <v>673</v>
      </c>
      <c r="D56" s="666">
        <v>185</v>
      </c>
      <c r="E56" s="680"/>
      <c r="F56" s="681"/>
      <c r="G56" s="682"/>
      <c r="H56" s="682"/>
      <c r="I56" s="682"/>
      <c r="J56" s="682"/>
      <c r="K56" s="682"/>
      <c r="L56" s="682"/>
      <c r="M56" s="683"/>
      <c r="N56" s="684"/>
      <c r="O56" s="684"/>
      <c r="P56" s="684"/>
      <c r="Q56" s="684"/>
      <c r="R56" s="684"/>
      <c r="S56" s="684"/>
      <c r="T56" s="684"/>
      <c r="U56" s="684"/>
      <c r="V56" s="684"/>
      <c r="W56" s="684"/>
      <c r="X56" s="684"/>
      <c r="Y56" s="684"/>
      <c r="Z56" s="684"/>
      <c r="AA56" s="684"/>
      <c r="AB56" s="685"/>
      <c r="AC56" s="145"/>
      <c r="AD56" s="145"/>
      <c r="AE56" s="145"/>
      <c r="AF56" s="145"/>
      <c r="AG56" s="145"/>
      <c r="AH56" s="145"/>
      <c r="AI56" s="145"/>
      <c r="AJ56" s="145"/>
      <c r="AK56" s="145"/>
    </row>
    <row r="57" spans="2:37" s="195" customFormat="1" x14ac:dyDescent="0.25">
      <c r="B57" s="452" t="s">
        <v>263</v>
      </c>
      <c r="C57" s="554" t="s">
        <v>673</v>
      </c>
      <c r="D57" s="679">
        <v>365</v>
      </c>
      <c r="E57" s="680">
        <v>1</v>
      </c>
      <c r="F57" s="681">
        <v>0.2</v>
      </c>
      <c r="G57" s="682">
        <v>167.87159999999997</v>
      </c>
      <c r="H57" s="682">
        <v>138.68600000000001</v>
      </c>
      <c r="I57" s="682">
        <v>126.22499999999999</v>
      </c>
      <c r="J57" s="682">
        <v>1.7</v>
      </c>
      <c r="K57" s="682">
        <v>81.58</v>
      </c>
      <c r="L57" s="682">
        <v>151.91999999999999</v>
      </c>
      <c r="M57" s="683">
        <v>0</v>
      </c>
      <c r="N57" s="684">
        <v>0.70588235294117652</v>
      </c>
      <c r="O57" s="684">
        <v>0.2249718785151856</v>
      </c>
      <c r="P57" s="684">
        <v>0.22598870056497175</v>
      </c>
      <c r="Q57" s="684">
        <v>0</v>
      </c>
      <c r="R57" s="684">
        <v>0</v>
      </c>
      <c r="S57" s="684">
        <v>0</v>
      </c>
      <c r="T57" s="684">
        <v>0</v>
      </c>
      <c r="U57" s="684">
        <v>0.26631158455392812</v>
      </c>
      <c r="V57" s="684">
        <v>0</v>
      </c>
      <c r="W57" s="684">
        <v>0</v>
      </c>
      <c r="X57" s="684">
        <v>0</v>
      </c>
      <c r="Y57" s="684">
        <v>0.52631578947368418</v>
      </c>
      <c r="Z57" s="684">
        <v>0</v>
      </c>
      <c r="AA57" s="684">
        <v>0</v>
      </c>
      <c r="AB57" s="685">
        <v>0</v>
      </c>
      <c r="AC57" s="145"/>
      <c r="AD57" s="145"/>
      <c r="AE57" s="145"/>
      <c r="AF57" s="145"/>
      <c r="AG57" s="145"/>
      <c r="AH57" s="145"/>
      <c r="AI57" s="145"/>
      <c r="AJ57" s="145"/>
      <c r="AK57" s="145"/>
    </row>
    <row r="58" spans="2:37" s="195" customFormat="1" x14ac:dyDescent="0.25">
      <c r="B58" s="452"/>
      <c r="C58" s="503"/>
      <c r="D58" s="666"/>
      <c r="E58" s="680"/>
      <c r="F58" s="681"/>
      <c r="G58" s="682"/>
      <c r="H58" s="682"/>
      <c r="I58" s="682"/>
      <c r="J58" s="682"/>
      <c r="K58" s="682"/>
      <c r="L58" s="682"/>
      <c r="M58" s="683"/>
      <c r="N58" s="684"/>
      <c r="O58" s="684"/>
      <c r="P58" s="684"/>
      <c r="Q58" s="684"/>
      <c r="R58" s="684"/>
      <c r="S58" s="684"/>
      <c r="T58" s="684"/>
      <c r="U58" s="684"/>
      <c r="V58" s="684"/>
      <c r="W58" s="684"/>
      <c r="X58" s="684"/>
      <c r="Y58" s="684"/>
      <c r="Z58" s="684"/>
      <c r="AA58" s="684"/>
      <c r="AB58" s="685"/>
      <c r="AC58" s="145"/>
      <c r="AD58" s="145"/>
      <c r="AE58" s="145"/>
      <c r="AF58" s="145"/>
      <c r="AG58" s="145"/>
      <c r="AH58" s="145"/>
      <c r="AI58" s="145"/>
      <c r="AJ58" s="145"/>
      <c r="AK58" s="145"/>
    </row>
    <row r="59" spans="2:37" s="195" customFormat="1" x14ac:dyDescent="0.25">
      <c r="B59" s="452" t="s">
        <v>579</v>
      </c>
      <c r="C59" s="554" t="s">
        <v>673</v>
      </c>
      <c r="D59" s="679">
        <v>365</v>
      </c>
      <c r="E59" s="680">
        <v>0</v>
      </c>
      <c r="F59" s="681">
        <v>0</v>
      </c>
      <c r="G59" s="682">
        <v>0</v>
      </c>
      <c r="H59" s="682">
        <v>0</v>
      </c>
      <c r="I59" s="682">
        <v>0</v>
      </c>
      <c r="J59" s="682">
        <v>0</v>
      </c>
      <c r="K59" s="682">
        <v>0</v>
      </c>
      <c r="L59" s="682">
        <v>0</v>
      </c>
      <c r="M59" s="683">
        <v>0</v>
      </c>
      <c r="N59" s="684">
        <v>0.11764705882352942</v>
      </c>
      <c r="O59" s="684">
        <v>0.1124859392575928</v>
      </c>
      <c r="P59" s="684">
        <v>0.11299435028248588</v>
      </c>
      <c r="Q59" s="684">
        <v>0</v>
      </c>
      <c r="R59" s="684">
        <v>0</v>
      </c>
      <c r="S59" s="684">
        <v>0</v>
      </c>
      <c r="T59" s="684">
        <v>0</v>
      </c>
      <c r="U59" s="684">
        <v>0.13315579227696406</v>
      </c>
      <c r="V59" s="684">
        <v>0</v>
      </c>
      <c r="W59" s="684">
        <v>0</v>
      </c>
      <c r="X59" s="684">
        <v>0</v>
      </c>
      <c r="Y59" s="684">
        <v>0.8421052631578948</v>
      </c>
      <c r="Z59" s="684">
        <v>0</v>
      </c>
      <c r="AA59" s="684">
        <v>0</v>
      </c>
      <c r="AB59" s="685">
        <v>0</v>
      </c>
      <c r="AC59" s="145"/>
      <c r="AD59" s="145"/>
      <c r="AE59" s="145"/>
      <c r="AF59" s="145"/>
      <c r="AG59" s="145"/>
      <c r="AH59" s="145"/>
      <c r="AI59" s="145"/>
      <c r="AJ59" s="145"/>
      <c r="AK59" s="145"/>
    </row>
    <row r="60" spans="2:37" s="195" customFormat="1" x14ac:dyDescent="0.25">
      <c r="B60" s="377"/>
      <c r="C60" s="122"/>
      <c r="D60" s="556"/>
      <c r="E60" s="461"/>
      <c r="F60" s="462"/>
      <c r="G60" s="412"/>
      <c r="H60" s="412"/>
      <c r="I60" s="412"/>
      <c r="J60" s="412"/>
      <c r="K60" s="412"/>
      <c r="L60" s="412"/>
      <c r="M60" s="413"/>
      <c r="N60" s="414"/>
      <c r="O60" s="414"/>
      <c r="P60" s="414"/>
      <c r="Q60" s="414"/>
      <c r="R60" s="414"/>
      <c r="S60" s="414"/>
      <c r="T60" s="414"/>
      <c r="U60" s="414"/>
      <c r="V60" s="414"/>
      <c r="W60" s="414"/>
      <c r="X60" s="414"/>
      <c r="Y60" s="414"/>
      <c r="Z60" s="414"/>
      <c r="AA60" s="414"/>
      <c r="AB60" s="415"/>
    </row>
    <row r="61" spans="2:37" s="195" customFormat="1" x14ac:dyDescent="0.25">
      <c r="C61" s="452"/>
      <c r="E61" s="378"/>
      <c r="F61" s="379"/>
      <c r="M61" s="380"/>
    </row>
    <row r="62" spans="2:37" s="195" customFormat="1" x14ac:dyDescent="0.25">
      <c r="C62" s="452"/>
      <c r="E62" s="401" t="s">
        <v>398</v>
      </c>
      <c r="F62" s="402" t="s">
        <v>399</v>
      </c>
      <c r="G62" s="403" t="s">
        <v>400</v>
      </c>
      <c r="H62" s="403" t="s">
        <v>401</v>
      </c>
      <c r="I62" s="403" t="s">
        <v>402</v>
      </c>
      <c r="J62" s="403" t="s">
        <v>122</v>
      </c>
      <c r="K62" s="403" t="s">
        <v>395</v>
      </c>
      <c r="L62" s="403" t="s">
        <v>396</v>
      </c>
      <c r="M62" s="404" t="s">
        <v>525</v>
      </c>
      <c r="N62" s="405"/>
      <c r="O62" s="405"/>
      <c r="P62" s="405"/>
      <c r="Q62" s="405"/>
      <c r="R62" s="405"/>
      <c r="S62" s="405"/>
      <c r="T62" s="405"/>
      <c r="U62" s="405"/>
      <c r="V62" s="405"/>
      <c r="W62" s="405"/>
      <c r="X62" s="405"/>
      <c r="Y62" s="405"/>
      <c r="Z62" s="405"/>
      <c r="AA62" s="405"/>
      <c r="AB62" s="406"/>
    </row>
    <row r="63" spans="2:37" s="195" customFormat="1" ht="30" x14ac:dyDescent="0.25">
      <c r="C63" s="452"/>
      <c r="D63" s="84" t="s">
        <v>678</v>
      </c>
      <c r="E63" s="407" t="s">
        <v>407</v>
      </c>
      <c r="F63" s="408" t="s">
        <v>408</v>
      </c>
      <c r="G63" s="409" t="s">
        <v>409</v>
      </c>
      <c r="H63" s="409" t="s">
        <v>410</v>
      </c>
      <c r="I63" s="409" t="s">
        <v>404</v>
      </c>
      <c r="J63" s="409" t="s">
        <v>671</v>
      </c>
      <c r="K63" s="409" t="s">
        <v>405</v>
      </c>
      <c r="L63" s="409" t="s">
        <v>411</v>
      </c>
      <c r="M63" s="410" t="s">
        <v>526</v>
      </c>
      <c r="N63" s="393" t="s">
        <v>652</v>
      </c>
      <c r="O63" s="393" t="s">
        <v>653</v>
      </c>
      <c r="P63" s="393" t="s">
        <v>654</v>
      </c>
      <c r="Q63" s="393" t="s">
        <v>655</v>
      </c>
      <c r="R63" s="393" t="s">
        <v>656</v>
      </c>
      <c r="S63" s="393" t="s">
        <v>657</v>
      </c>
      <c r="T63" s="393" t="s">
        <v>658</v>
      </c>
      <c r="U63" s="393" t="s">
        <v>659</v>
      </c>
      <c r="V63" s="393" t="s">
        <v>660</v>
      </c>
      <c r="W63" s="393" t="s">
        <v>661</v>
      </c>
      <c r="X63" s="393" t="s">
        <v>662</v>
      </c>
      <c r="Y63" s="393" t="s">
        <v>663</v>
      </c>
      <c r="Z63" s="393" t="s">
        <v>664</v>
      </c>
      <c r="AA63" s="393" t="s">
        <v>665</v>
      </c>
      <c r="AB63" s="411" t="s">
        <v>666</v>
      </c>
    </row>
    <row r="64" spans="2:37" s="195" customFormat="1" x14ac:dyDescent="0.25">
      <c r="B64" s="452" t="s">
        <v>251</v>
      </c>
      <c r="C64" s="554" t="s">
        <v>238</v>
      </c>
      <c r="D64" s="679">
        <v>150</v>
      </c>
      <c r="E64" s="680">
        <v>7.6517634640645529</v>
      </c>
      <c r="F64" s="681">
        <v>11.348140364045786</v>
      </c>
      <c r="G64" s="682">
        <v>4101.7170073434363</v>
      </c>
      <c r="H64" s="682">
        <v>546.48334431689364</v>
      </c>
      <c r="I64" s="682">
        <v>1051.0488174997815</v>
      </c>
      <c r="J64" s="682">
        <v>18.967950365922313</v>
      </c>
      <c r="K64" s="682">
        <v>28.808585100394069</v>
      </c>
      <c r="L64" s="682">
        <v>332.64729311315438</v>
      </c>
      <c r="M64" s="683">
        <v>19.209803442705262</v>
      </c>
      <c r="N64" s="684">
        <v>4.6568907322658104</v>
      </c>
      <c r="O64" s="684">
        <v>0.95437425438228418</v>
      </c>
      <c r="P64" s="684">
        <v>3.1938145444476218</v>
      </c>
      <c r="Q64" s="684">
        <v>17.950089280785445</v>
      </c>
      <c r="R64" s="684">
        <v>0</v>
      </c>
      <c r="S64" s="684">
        <v>8.1474753494731615</v>
      </c>
      <c r="T64" s="684">
        <v>0</v>
      </c>
      <c r="U64" s="684">
        <v>0</v>
      </c>
      <c r="V64" s="684">
        <v>11.78181019024038</v>
      </c>
      <c r="W64" s="684">
        <v>0</v>
      </c>
      <c r="X64" s="684">
        <v>0</v>
      </c>
      <c r="Y64" s="684">
        <v>0</v>
      </c>
      <c r="Z64" s="684">
        <v>0.15498784973600996</v>
      </c>
      <c r="AA64" s="684">
        <v>2.0547945205479451E-2</v>
      </c>
      <c r="AB64" s="685">
        <v>4.1095890410958902E-2</v>
      </c>
    </row>
    <row r="65" spans="2:28" s="195" customFormat="1" x14ac:dyDescent="0.25">
      <c r="B65" s="452" t="s">
        <v>251</v>
      </c>
      <c r="C65" s="555" t="s">
        <v>673</v>
      </c>
      <c r="D65" s="666">
        <v>215</v>
      </c>
      <c r="E65" s="680"/>
      <c r="F65" s="681"/>
      <c r="G65" s="682"/>
      <c r="H65" s="682"/>
      <c r="I65" s="682"/>
      <c r="J65" s="682"/>
      <c r="K65" s="682"/>
      <c r="L65" s="682"/>
      <c r="M65" s="683"/>
      <c r="N65" s="684"/>
      <c r="O65" s="684"/>
      <c r="P65" s="684"/>
      <c r="Q65" s="684"/>
      <c r="R65" s="684"/>
      <c r="S65" s="684"/>
      <c r="T65" s="684"/>
      <c r="U65" s="684"/>
      <c r="V65" s="684"/>
      <c r="W65" s="684"/>
      <c r="X65" s="684"/>
      <c r="Y65" s="684"/>
      <c r="Z65" s="684"/>
      <c r="AA65" s="684"/>
      <c r="AB65" s="685"/>
    </row>
    <row r="66" spans="2:28" s="195" customFormat="1" x14ac:dyDescent="0.25">
      <c r="B66" s="452" t="s">
        <v>254</v>
      </c>
      <c r="C66" s="554" t="s">
        <v>238</v>
      </c>
      <c r="D66" s="679">
        <v>180</v>
      </c>
      <c r="E66" s="680">
        <v>0.13378995433789956</v>
      </c>
      <c r="F66" s="681">
        <v>4.3063124768604215</v>
      </c>
      <c r="G66" s="682">
        <v>1231.9496812519662</v>
      </c>
      <c r="H66" s="682">
        <v>94.359845813973891</v>
      </c>
      <c r="I66" s="682">
        <v>364.7702777194076</v>
      </c>
      <c r="J66" s="682">
        <v>4.4444403307417009</v>
      </c>
      <c r="K66" s="682">
        <v>21.222633592496603</v>
      </c>
      <c r="L66" s="682">
        <v>426.38880661483392</v>
      </c>
      <c r="M66" s="683">
        <v>18.561422572483202</v>
      </c>
      <c r="N66" s="684">
        <v>5.0051768777024205E-2</v>
      </c>
      <c r="O66" s="684">
        <v>0</v>
      </c>
      <c r="P66" s="684">
        <v>0.10136857555017968</v>
      </c>
      <c r="Q66" s="684">
        <v>2.0151892602691031</v>
      </c>
      <c r="R66" s="684">
        <v>0</v>
      </c>
      <c r="S66" s="684">
        <v>0</v>
      </c>
      <c r="T66" s="684">
        <v>3.7394153653121829</v>
      </c>
      <c r="U66" s="684">
        <v>0</v>
      </c>
      <c r="V66" s="684">
        <v>10.348143080313287</v>
      </c>
      <c r="W66" s="684">
        <v>0</v>
      </c>
      <c r="X66" s="684">
        <v>0</v>
      </c>
      <c r="Y66" s="684">
        <v>0</v>
      </c>
      <c r="Z66" s="684">
        <v>0.40705685687590698</v>
      </c>
      <c r="AA66" s="684">
        <v>0</v>
      </c>
      <c r="AB66" s="685">
        <v>0</v>
      </c>
    </row>
    <row r="67" spans="2:28" s="195" customFormat="1" x14ac:dyDescent="0.25">
      <c r="B67" s="452" t="s">
        <v>254</v>
      </c>
      <c r="C67" s="555" t="s">
        <v>673</v>
      </c>
      <c r="D67" s="666">
        <v>185</v>
      </c>
      <c r="E67" s="680"/>
      <c r="F67" s="681"/>
      <c r="G67" s="682"/>
      <c r="H67" s="682"/>
      <c r="I67" s="682"/>
      <c r="J67" s="682"/>
      <c r="K67" s="682"/>
      <c r="L67" s="682"/>
      <c r="M67" s="683"/>
      <c r="N67" s="684"/>
      <c r="O67" s="684"/>
      <c r="P67" s="684"/>
      <c r="Q67" s="684"/>
      <c r="R67" s="684"/>
      <c r="S67" s="684"/>
      <c r="T67" s="684"/>
      <c r="U67" s="684"/>
      <c r="V67" s="684"/>
      <c r="W67" s="684"/>
      <c r="X67" s="684"/>
      <c r="Y67" s="684"/>
      <c r="Z67" s="684"/>
      <c r="AA67" s="684"/>
      <c r="AB67" s="685"/>
    </row>
    <row r="68" spans="2:28" s="195" customFormat="1" x14ac:dyDescent="0.25">
      <c r="B68" s="452" t="s">
        <v>257</v>
      </c>
      <c r="C68" s="554" t="s">
        <v>238</v>
      </c>
      <c r="D68" s="679">
        <v>180</v>
      </c>
      <c r="E68" s="680">
        <v>2.3812179134732426E-2</v>
      </c>
      <c r="F68" s="681">
        <v>4.7622486636663144</v>
      </c>
      <c r="G68" s="682">
        <v>1401.7217503894465</v>
      </c>
      <c r="H68" s="682">
        <v>89.590606691236516</v>
      </c>
      <c r="I68" s="682">
        <v>389.50432031143356</v>
      </c>
      <c r="J68" s="682">
        <v>4.7831745180574421</v>
      </c>
      <c r="K68" s="682">
        <v>18.682594132757647</v>
      </c>
      <c r="L68" s="682">
        <v>450.4349613379834</v>
      </c>
      <c r="M68" s="683">
        <v>18.504392388362326</v>
      </c>
      <c r="N68" s="684">
        <v>4.0546906558461548E-3</v>
      </c>
      <c r="O68" s="684">
        <v>0</v>
      </c>
      <c r="P68" s="684">
        <v>2.0661784374288131E-2</v>
      </c>
      <c r="Q68" s="684">
        <v>2.2176323843987618</v>
      </c>
      <c r="R68" s="684">
        <v>0</v>
      </c>
      <c r="S68" s="684">
        <v>0</v>
      </c>
      <c r="T68" s="684">
        <v>4.1150718576811229</v>
      </c>
      <c r="U68" s="684">
        <v>0</v>
      </c>
      <c r="V68" s="684">
        <v>10.20736186432039</v>
      </c>
      <c r="W68" s="684">
        <v>0</v>
      </c>
      <c r="X68" s="684">
        <v>0</v>
      </c>
      <c r="Y68" s="684">
        <v>0</v>
      </c>
      <c r="Z68" s="684">
        <v>0.71977021270506902</v>
      </c>
      <c r="AA68" s="684">
        <v>0</v>
      </c>
      <c r="AB68" s="685">
        <v>0</v>
      </c>
    </row>
    <row r="69" spans="2:28" s="195" customFormat="1" x14ac:dyDescent="0.25">
      <c r="B69" s="452" t="s">
        <v>257</v>
      </c>
      <c r="C69" s="555" t="s">
        <v>673</v>
      </c>
      <c r="D69" s="666">
        <v>185</v>
      </c>
      <c r="E69" s="680"/>
      <c r="F69" s="681"/>
      <c r="G69" s="682"/>
      <c r="H69" s="682"/>
      <c r="I69" s="682"/>
      <c r="J69" s="682"/>
      <c r="K69" s="682"/>
      <c r="L69" s="682"/>
      <c r="M69" s="683"/>
      <c r="N69" s="684"/>
      <c r="O69" s="684"/>
      <c r="P69" s="684"/>
      <c r="Q69" s="684"/>
      <c r="R69" s="684"/>
      <c r="S69" s="684"/>
      <c r="T69" s="684"/>
      <c r="U69" s="684"/>
      <c r="V69" s="684"/>
      <c r="W69" s="684"/>
      <c r="X69" s="684"/>
      <c r="Y69" s="684"/>
      <c r="Z69" s="684"/>
      <c r="AA69" s="684"/>
      <c r="AB69" s="685"/>
    </row>
    <row r="70" spans="2:28" s="195" customFormat="1" x14ac:dyDescent="0.25">
      <c r="B70" s="452" t="s">
        <v>260</v>
      </c>
      <c r="C70" s="554" t="s">
        <v>673</v>
      </c>
      <c r="D70" s="679">
        <v>365</v>
      </c>
      <c r="E70" s="680">
        <v>3.0001743163885641</v>
      </c>
      <c r="F70" s="681">
        <v>1.2579469895110893</v>
      </c>
      <c r="G70" s="682">
        <v>695.04501781818101</v>
      </c>
      <c r="H70" s="682">
        <v>88.119205183986523</v>
      </c>
      <c r="I70" s="682">
        <v>147.54161352065711</v>
      </c>
      <c r="J70" s="682">
        <v>4.2772001096503445</v>
      </c>
      <c r="K70" s="682">
        <v>20.60207680841712</v>
      </c>
      <c r="L70" s="682">
        <v>250.00000000000003</v>
      </c>
      <c r="M70" s="683">
        <v>19.193729214592846</v>
      </c>
      <c r="N70" s="684">
        <v>2.6531533220675487</v>
      </c>
      <c r="O70" s="684">
        <v>0.85086860984271262</v>
      </c>
      <c r="P70" s="684">
        <v>0</v>
      </c>
      <c r="Q70" s="684">
        <v>3.6399753987569996</v>
      </c>
      <c r="R70" s="684">
        <v>0</v>
      </c>
      <c r="S70" s="684">
        <v>0</v>
      </c>
      <c r="T70" s="684">
        <v>0</v>
      </c>
      <c r="U70" s="684">
        <v>0</v>
      </c>
      <c r="V70" s="684">
        <v>0</v>
      </c>
      <c r="W70" s="684">
        <v>0</v>
      </c>
      <c r="X70" s="684">
        <v>0</v>
      </c>
      <c r="Y70" s="684">
        <v>0</v>
      </c>
      <c r="Z70" s="684">
        <v>0</v>
      </c>
      <c r="AA70" s="684">
        <v>0</v>
      </c>
      <c r="AB70" s="685">
        <v>0</v>
      </c>
    </row>
    <row r="71" spans="2:28" s="195" customFormat="1" x14ac:dyDescent="0.25">
      <c r="B71" s="452"/>
      <c r="C71" s="503"/>
      <c r="D71" s="666"/>
      <c r="E71" s="680"/>
      <c r="F71" s="681"/>
      <c r="G71" s="682"/>
      <c r="H71" s="682"/>
      <c r="I71" s="682"/>
      <c r="J71" s="682"/>
      <c r="K71" s="682"/>
      <c r="L71" s="682"/>
      <c r="M71" s="683"/>
      <c r="N71" s="684"/>
      <c r="O71" s="684"/>
      <c r="P71" s="684"/>
      <c r="Q71" s="684"/>
      <c r="R71" s="684"/>
      <c r="S71" s="684"/>
      <c r="T71" s="684"/>
      <c r="U71" s="682"/>
      <c r="V71" s="684"/>
      <c r="W71" s="684"/>
      <c r="X71" s="684"/>
      <c r="Y71" s="684"/>
      <c r="Z71" s="684"/>
      <c r="AA71" s="684"/>
      <c r="AB71" s="685"/>
    </row>
    <row r="72" spans="2:28" s="195" customFormat="1" x14ac:dyDescent="0.25">
      <c r="B72" s="452" t="s">
        <v>261</v>
      </c>
      <c r="C72" s="554" t="s">
        <v>673</v>
      </c>
      <c r="D72" s="679">
        <v>365</v>
      </c>
      <c r="E72" s="680">
        <v>2.1924094792852142</v>
      </c>
      <c r="F72" s="681">
        <v>2.4369656777062652</v>
      </c>
      <c r="G72" s="682">
        <v>903.22349658714825</v>
      </c>
      <c r="H72" s="682">
        <v>86.907398402034573</v>
      </c>
      <c r="I72" s="682">
        <v>159.58904515301543</v>
      </c>
      <c r="J72" s="682">
        <v>4.6319153671135807</v>
      </c>
      <c r="K72" s="682">
        <v>18.762734530745906</v>
      </c>
      <c r="L72" s="682">
        <v>300</v>
      </c>
      <c r="M72" s="683">
        <v>19.028629024622642</v>
      </c>
      <c r="N72" s="684">
        <v>1.9378729300782209</v>
      </c>
      <c r="O72" s="684">
        <v>0.59884412005580945</v>
      </c>
      <c r="P72" s="684">
        <v>1.7219291472620732E-2</v>
      </c>
      <c r="Q72" s="684">
        <v>6.6079940358553539</v>
      </c>
      <c r="R72" s="684">
        <v>0</v>
      </c>
      <c r="S72" s="684">
        <v>0</v>
      </c>
      <c r="T72" s="684">
        <v>0</v>
      </c>
      <c r="U72" s="684">
        <v>0</v>
      </c>
      <c r="V72" s="684">
        <v>0</v>
      </c>
      <c r="W72" s="684">
        <v>0</v>
      </c>
      <c r="X72" s="684">
        <v>0</v>
      </c>
      <c r="Y72" s="684">
        <v>0</v>
      </c>
      <c r="Z72" s="684">
        <v>0.15728540713185804</v>
      </c>
      <c r="AA72" s="684">
        <v>0</v>
      </c>
      <c r="AB72" s="685">
        <v>0</v>
      </c>
    </row>
    <row r="73" spans="2:28" s="195" customFormat="1" x14ac:dyDescent="0.25">
      <c r="B73" s="452"/>
      <c r="C73" s="503"/>
      <c r="D73" s="666"/>
      <c r="E73" s="680"/>
      <c r="F73" s="681"/>
      <c r="G73" s="682"/>
      <c r="H73" s="682"/>
      <c r="I73" s="682"/>
      <c r="J73" s="682"/>
      <c r="K73" s="682"/>
      <c r="L73" s="682"/>
      <c r="M73" s="683"/>
      <c r="N73" s="684"/>
      <c r="O73" s="684"/>
      <c r="P73" s="684"/>
      <c r="Q73" s="684"/>
      <c r="R73" s="684"/>
      <c r="S73" s="684"/>
      <c r="T73" s="684"/>
      <c r="U73" s="684"/>
      <c r="V73" s="684"/>
      <c r="W73" s="684"/>
      <c r="X73" s="684"/>
      <c r="Y73" s="684"/>
      <c r="Z73" s="684"/>
      <c r="AA73" s="684"/>
      <c r="AB73" s="685"/>
    </row>
    <row r="74" spans="2:28" s="195" customFormat="1" x14ac:dyDescent="0.25">
      <c r="B74" s="452" t="s">
        <v>262</v>
      </c>
      <c r="C74" s="554" t="s">
        <v>238</v>
      </c>
      <c r="D74" s="679">
        <v>180</v>
      </c>
      <c r="E74" s="680">
        <v>4.5757229832572299E-2</v>
      </c>
      <c r="F74" s="681">
        <v>4.7932895223991112</v>
      </c>
      <c r="G74" s="682">
        <v>1391.2466227853758</v>
      </c>
      <c r="H74" s="682">
        <v>94.593071358914472</v>
      </c>
      <c r="I74" s="682">
        <v>395.7427740309729</v>
      </c>
      <c r="J74" s="682">
        <v>4.8376388374676047</v>
      </c>
      <c r="K74" s="682">
        <v>19.524132008721054</v>
      </c>
      <c r="L74" s="682">
        <v>442.20863671891078</v>
      </c>
      <c r="M74" s="683">
        <v>18.567482618457174</v>
      </c>
      <c r="N74" s="684">
        <v>1.6549406628427729E-2</v>
      </c>
      <c r="O74" s="684">
        <v>0</v>
      </c>
      <c r="P74" s="684">
        <v>0.64603808390683382</v>
      </c>
      <c r="Q74" s="684">
        <v>1.5077330408531333</v>
      </c>
      <c r="R74" s="684">
        <v>0</v>
      </c>
      <c r="S74" s="684">
        <v>0</v>
      </c>
      <c r="T74" s="684">
        <v>3.4911511905099313</v>
      </c>
      <c r="U74" s="684">
        <v>0</v>
      </c>
      <c r="V74" s="684">
        <v>10.528718856260257</v>
      </c>
      <c r="W74" s="684">
        <v>0</v>
      </c>
      <c r="X74" s="684">
        <v>0</v>
      </c>
      <c r="Y74" s="684">
        <v>0</v>
      </c>
      <c r="Z74" s="684">
        <v>0.63274483736933418</v>
      </c>
      <c r="AA74" s="684">
        <v>0</v>
      </c>
      <c r="AB74" s="685">
        <v>0</v>
      </c>
    </row>
    <row r="75" spans="2:28" s="195" customFormat="1" x14ac:dyDescent="0.25">
      <c r="B75" s="452" t="s">
        <v>262</v>
      </c>
      <c r="C75" s="555" t="s">
        <v>673</v>
      </c>
      <c r="D75" s="666">
        <v>185</v>
      </c>
      <c r="E75" s="680"/>
      <c r="F75" s="681"/>
      <c r="G75" s="682"/>
      <c r="H75" s="682"/>
      <c r="I75" s="682"/>
      <c r="J75" s="682"/>
      <c r="K75" s="682"/>
      <c r="L75" s="682"/>
      <c r="M75" s="683"/>
      <c r="N75" s="684"/>
      <c r="O75" s="684"/>
      <c r="P75" s="684"/>
      <c r="Q75" s="684"/>
      <c r="R75" s="684"/>
      <c r="S75" s="684"/>
      <c r="T75" s="684"/>
      <c r="U75" s="684"/>
      <c r="V75" s="684"/>
      <c r="W75" s="684"/>
      <c r="X75" s="684"/>
      <c r="Y75" s="684"/>
      <c r="Z75" s="684"/>
      <c r="AA75" s="684"/>
      <c r="AB75" s="685"/>
    </row>
    <row r="76" spans="2:28" s="195" customFormat="1" x14ac:dyDescent="0.25">
      <c r="B76" s="452" t="s">
        <v>263</v>
      </c>
      <c r="C76" s="554" t="s">
        <v>673</v>
      </c>
      <c r="D76" s="679">
        <v>365</v>
      </c>
      <c r="E76" s="680">
        <v>0.8</v>
      </c>
      <c r="F76" s="681">
        <v>0.4</v>
      </c>
      <c r="G76" s="682">
        <v>121.92</v>
      </c>
      <c r="H76" s="682">
        <v>94.33846153846153</v>
      </c>
      <c r="I76" s="682">
        <v>89.538461538461533</v>
      </c>
      <c r="J76" s="682">
        <v>1.2</v>
      </c>
      <c r="K76" s="682">
        <v>78.615384615384613</v>
      </c>
      <c r="L76" s="682">
        <v>156.30769230769232</v>
      </c>
      <c r="M76" s="683">
        <v>0</v>
      </c>
      <c r="N76" s="684">
        <v>0.35294117647058826</v>
      </c>
      <c r="O76" s="684">
        <v>0.1687289088863892</v>
      </c>
      <c r="P76" s="684">
        <v>0.16949152542372881</v>
      </c>
      <c r="Q76" s="684">
        <v>0</v>
      </c>
      <c r="R76" s="684">
        <v>0</v>
      </c>
      <c r="S76" s="684">
        <v>0</v>
      </c>
      <c r="T76" s="684">
        <v>0</v>
      </c>
      <c r="U76" s="684">
        <v>0.26631158455392812</v>
      </c>
      <c r="V76" s="684">
        <v>0</v>
      </c>
      <c r="W76" s="684">
        <v>0</v>
      </c>
      <c r="X76" s="684">
        <v>0</v>
      </c>
      <c r="Y76" s="684">
        <v>0.4210526315789474</v>
      </c>
      <c r="Z76" s="684">
        <v>0</v>
      </c>
      <c r="AA76" s="684">
        <v>0</v>
      </c>
      <c r="AB76" s="685">
        <v>0</v>
      </c>
    </row>
    <row r="77" spans="2:28" s="195" customFormat="1" x14ac:dyDescent="0.25">
      <c r="B77" s="452"/>
      <c r="C77" s="503"/>
      <c r="D77" s="666"/>
      <c r="E77" s="680"/>
      <c r="F77" s="681"/>
      <c r="G77" s="682"/>
      <c r="H77" s="682"/>
      <c r="I77" s="682"/>
      <c r="J77" s="682"/>
      <c r="K77" s="682"/>
      <c r="L77" s="682"/>
      <c r="M77" s="683"/>
      <c r="N77" s="684"/>
      <c r="O77" s="684"/>
      <c r="P77" s="684"/>
      <c r="Q77" s="684"/>
      <c r="R77" s="684"/>
      <c r="S77" s="684"/>
      <c r="T77" s="684"/>
      <c r="U77" s="684"/>
      <c r="V77" s="684"/>
      <c r="W77" s="684"/>
      <c r="X77" s="684"/>
      <c r="Y77" s="684"/>
      <c r="Z77" s="684"/>
      <c r="AA77" s="684"/>
      <c r="AB77" s="685"/>
    </row>
    <row r="78" spans="2:28" s="195" customFormat="1" x14ac:dyDescent="0.25">
      <c r="B78" s="452" t="s">
        <v>579</v>
      </c>
      <c r="C78" s="554" t="s">
        <v>673</v>
      </c>
      <c r="D78" s="679">
        <v>365</v>
      </c>
      <c r="E78" s="680">
        <v>0</v>
      </c>
      <c r="F78" s="681">
        <v>0</v>
      </c>
      <c r="G78" s="682">
        <v>0</v>
      </c>
      <c r="H78" s="682">
        <v>0</v>
      </c>
      <c r="I78" s="682">
        <v>0</v>
      </c>
      <c r="J78" s="682">
        <v>0</v>
      </c>
      <c r="K78" s="682">
        <v>0</v>
      </c>
      <c r="L78" s="682">
        <v>0</v>
      </c>
      <c r="M78" s="683">
        <v>0</v>
      </c>
      <c r="N78" s="684">
        <v>0.10588235294117648</v>
      </c>
      <c r="O78" s="684">
        <v>0.10123734533183353</v>
      </c>
      <c r="P78" s="684">
        <v>0.10169491525423729</v>
      </c>
      <c r="Q78" s="684">
        <v>0</v>
      </c>
      <c r="R78" s="684">
        <v>0</v>
      </c>
      <c r="S78" s="684">
        <v>0</v>
      </c>
      <c r="T78" s="684">
        <v>0</v>
      </c>
      <c r="U78" s="684">
        <v>0</v>
      </c>
      <c r="V78" s="684">
        <v>0</v>
      </c>
      <c r="W78" s="684">
        <v>0</v>
      </c>
      <c r="X78" s="684">
        <v>0</v>
      </c>
      <c r="Y78" s="684">
        <v>0.52631578947368418</v>
      </c>
      <c r="Z78" s="684">
        <v>0</v>
      </c>
      <c r="AA78" s="684">
        <v>0</v>
      </c>
      <c r="AB78" s="685">
        <v>0</v>
      </c>
    </row>
    <row r="79" spans="2:28" s="195" customFormat="1" x14ac:dyDescent="0.25">
      <c r="B79" s="377"/>
      <c r="C79" s="122"/>
      <c r="D79" s="556"/>
      <c r="E79" s="461"/>
      <c r="F79" s="462"/>
      <c r="G79" s="412"/>
      <c r="H79" s="412"/>
      <c r="I79" s="412"/>
      <c r="J79" s="412"/>
      <c r="K79" s="412"/>
      <c r="L79" s="412"/>
      <c r="M79" s="413"/>
      <c r="N79" s="414"/>
      <c r="O79" s="414"/>
      <c r="P79" s="414"/>
      <c r="Q79" s="414"/>
      <c r="R79" s="414"/>
      <c r="S79" s="414"/>
      <c r="T79" s="414"/>
      <c r="U79" s="414"/>
      <c r="V79" s="414"/>
      <c r="W79" s="414"/>
      <c r="X79" s="414"/>
      <c r="Y79" s="414"/>
      <c r="Z79" s="414"/>
      <c r="AA79" s="414"/>
      <c r="AB79" s="415"/>
    </row>
    <row r="80" spans="2:28" s="195" customFormat="1" x14ac:dyDescent="0.25">
      <c r="D80" s="84"/>
      <c r="E80" s="378"/>
      <c r="F80" s="379"/>
      <c r="M80" s="380"/>
    </row>
    <row r="81" spans="1:30" s="195" customFormat="1" x14ac:dyDescent="0.25">
      <c r="E81" s="378"/>
      <c r="F81" s="379"/>
      <c r="M81" s="380"/>
    </row>
    <row r="82" spans="1:30" s="195" customFormat="1" x14ac:dyDescent="0.25">
      <c r="E82" s="378"/>
      <c r="F82" s="379"/>
      <c r="M82" s="380"/>
    </row>
    <row r="83" spans="1:30" ht="30" x14ac:dyDescent="0.25">
      <c r="E83" s="280"/>
      <c r="F83" s="130"/>
      <c r="M83" s="362"/>
      <c r="N83" s="382" t="s">
        <v>700</v>
      </c>
      <c r="O83" s="383" t="s">
        <v>701</v>
      </c>
      <c r="P83" s="383" t="s">
        <v>702</v>
      </c>
      <c r="Q83" s="383" t="s">
        <v>703</v>
      </c>
      <c r="R83" s="383" t="s">
        <v>704</v>
      </c>
      <c r="S83" s="383" t="s">
        <v>704</v>
      </c>
      <c r="T83" s="383" t="s">
        <v>704</v>
      </c>
      <c r="U83" s="383" t="s">
        <v>710</v>
      </c>
      <c r="V83" s="383" t="s">
        <v>705</v>
      </c>
      <c r="W83" s="383" t="s">
        <v>705</v>
      </c>
      <c r="X83" s="383" t="s">
        <v>706</v>
      </c>
      <c r="Y83" s="383" t="s">
        <v>709</v>
      </c>
      <c r="Z83" s="383" t="s">
        <v>707</v>
      </c>
      <c r="AA83" s="383" t="s">
        <v>708</v>
      </c>
      <c r="AB83" s="596" t="s">
        <v>217</v>
      </c>
    </row>
    <row r="84" spans="1:30" x14ac:dyDescent="0.25">
      <c r="E84" s="280"/>
      <c r="F84" s="130"/>
      <c r="M84" s="362"/>
      <c r="N84" s="686" t="s">
        <v>218</v>
      </c>
      <c r="O84" s="687" t="s">
        <v>218</v>
      </c>
      <c r="P84" s="687" t="s">
        <v>218</v>
      </c>
      <c r="Q84" s="687" t="s">
        <v>218</v>
      </c>
      <c r="R84" s="687" t="s">
        <v>218</v>
      </c>
      <c r="S84" s="687" t="s">
        <v>218</v>
      </c>
      <c r="T84" s="687" t="s">
        <v>218</v>
      </c>
      <c r="U84" s="687" t="s">
        <v>218</v>
      </c>
      <c r="V84" s="687" t="s">
        <v>218</v>
      </c>
      <c r="W84" s="687" t="s">
        <v>218</v>
      </c>
      <c r="X84" s="687" t="s">
        <v>218</v>
      </c>
      <c r="Y84" s="687" t="s">
        <v>218</v>
      </c>
      <c r="Z84" s="687" t="s">
        <v>218</v>
      </c>
      <c r="AA84" s="687" t="s">
        <v>218</v>
      </c>
      <c r="AB84" s="688" t="s">
        <v>218</v>
      </c>
    </row>
    <row r="85" spans="1:30" x14ac:dyDescent="0.25">
      <c r="D85" s="446"/>
      <c r="E85" s="280"/>
      <c r="F85" s="130"/>
      <c r="M85" s="362"/>
      <c r="N85" s="324"/>
      <c r="O85" s="324"/>
      <c r="P85" s="324"/>
      <c r="Q85" s="323"/>
      <c r="R85" s="323"/>
      <c r="S85" s="323"/>
      <c r="T85" s="323"/>
      <c r="U85" s="371"/>
      <c r="V85" s="323"/>
      <c r="W85" s="323"/>
      <c r="X85" s="323"/>
      <c r="Y85" s="323"/>
      <c r="Z85" s="324"/>
      <c r="AA85" s="324"/>
      <c r="AB85" s="322"/>
    </row>
    <row r="86" spans="1:30" x14ac:dyDescent="0.25">
      <c r="D86" s="314" t="s">
        <v>403</v>
      </c>
      <c r="E86" s="363" t="s">
        <v>398</v>
      </c>
      <c r="F86" s="364" t="s">
        <v>399</v>
      </c>
      <c r="G86" s="364" t="s">
        <v>400</v>
      </c>
      <c r="H86" s="364" t="s">
        <v>401</v>
      </c>
      <c r="I86" s="364" t="s">
        <v>402</v>
      </c>
      <c r="J86" s="365" t="s">
        <v>122</v>
      </c>
      <c r="K86" s="365" t="s">
        <v>395</v>
      </c>
      <c r="L86" s="365" t="s">
        <v>396</v>
      </c>
      <c r="M86" s="366" t="s">
        <v>525</v>
      </c>
      <c r="N86" s="446" t="s">
        <v>553</v>
      </c>
    </row>
    <row r="87" spans="1:30" ht="45" x14ac:dyDescent="0.25">
      <c r="C87" s="12" t="s">
        <v>686</v>
      </c>
      <c r="D87" s="485" t="s">
        <v>550</v>
      </c>
      <c r="E87" s="492" t="s">
        <v>407</v>
      </c>
      <c r="F87" s="493" t="s">
        <v>408</v>
      </c>
      <c r="G87" s="493" t="s">
        <v>409</v>
      </c>
      <c r="H87" s="493" t="s">
        <v>410</v>
      </c>
      <c r="I87" s="493" t="s">
        <v>404</v>
      </c>
      <c r="J87" s="494" t="s">
        <v>406</v>
      </c>
      <c r="K87" s="494" t="s">
        <v>405</v>
      </c>
      <c r="L87" s="494" t="s">
        <v>411</v>
      </c>
      <c r="M87" s="495" t="s">
        <v>526</v>
      </c>
      <c r="N87" s="490" t="str">
        <f>N44&amp;$N$86</f>
        <v>Korn (vårbyg), kg  ww  /day</v>
      </c>
      <c r="O87" s="490" t="str">
        <f t="shared" ref="O87:AB87" si="0">O44&amp;$N$86</f>
        <v>Rapsskrå, kg  ww  /day</v>
      </c>
      <c r="P87" s="490" t="str">
        <f t="shared" si="0"/>
        <v>Raps-kager, kg  ww  /day</v>
      </c>
      <c r="Q87" s="490" t="str">
        <f t="shared" si="0"/>
        <v>Majs-ensilage, middel FK, kg  ww  /day</v>
      </c>
      <c r="R87" s="490" t="str">
        <f t="shared" si="0"/>
        <v>Kløvergræsensilage, høj FK, 20 %, kg  ww  /day</v>
      </c>
      <c r="S87" s="490" t="str">
        <f t="shared" si="0"/>
        <v>Kløvergræsensilage, middel FK, 20 %, kg  ww  /day</v>
      </c>
      <c r="T87" s="490" t="str">
        <f t="shared" si="0"/>
        <v>Kløvergræsensilage, lav FK, 20 %, kg  ww  /day</v>
      </c>
      <c r="U87" s="490" t="str">
        <f t="shared" si="0"/>
        <v>Kløverhø, lav FK, kg  ww  /day</v>
      </c>
      <c r="V87" s="490" t="str">
        <f t="shared" si="0"/>
        <v>Kløvergræs, 6-8 cm, 20 %, kg  ww  /day</v>
      </c>
      <c r="W87" s="490" t="str">
        <f t="shared" si="0"/>
        <v>Varigt enggræs, kg  ww  /day</v>
      </c>
      <c r="X87" s="490" t="str">
        <f t="shared" si="0"/>
        <v>Sødmælk, kg  ww  /day</v>
      </c>
      <c r="Y87" s="490" t="str">
        <f t="shared" si="0"/>
        <v>Mælkeerstatning, kg  ww  /day</v>
      </c>
      <c r="Z87" s="490" t="str">
        <f t="shared" si="0"/>
        <v>Foder-halm (vårbyg), kg  ww  /day</v>
      </c>
      <c r="AA87" s="490" t="str">
        <f t="shared" si="0"/>
        <v>Kridt, kg ww  /day</v>
      </c>
      <c r="AB87" s="491" t="str">
        <f t="shared" si="0"/>
        <v>Type 1 granuleret , kg ww  /day</v>
      </c>
      <c r="AC87" s="130"/>
      <c r="AD87" s="130"/>
    </row>
    <row r="88" spans="1:30" x14ac:dyDescent="0.25">
      <c r="B88" s="689" t="s">
        <v>642</v>
      </c>
      <c r="D88" s="485"/>
      <c r="E88" s="514"/>
      <c r="F88" s="515"/>
      <c r="G88" s="515"/>
      <c r="H88" s="515"/>
      <c r="I88" s="515"/>
      <c r="J88" s="516"/>
      <c r="K88" s="516"/>
      <c r="L88" s="516"/>
      <c r="M88" s="515"/>
      <c r="N88" s="517">
        <f>N59</f>
        <v>0.11764705882352942</v>
      </c>
      <c r="O88" s="517">
        <f t="shared" ref="O88:AB88" si="1">O59</f>
        <v>0.1124859392575928</v>
      </c>
      <c r="P88" s="517">
        <f t="shared" si="1"/>
        <v>0.11299435028248588</v>
      </c>
      <c r="Q88" s="517">
        <f t="shared" si="1"/>
        <v>0</v>
      </c>
      <c r="R88" s="517">
        <f t="shared" si="1"/>
        <v>0</v>
      </c>
      <c r="S88" s="517">
        <f t="shared" si="1"/>
        <v>0</v>
      </c>
      <c r="T88" s="517">
        <f t="shared" si="1"/>
        <v>0</v>
      </c>
      <c r="U88" s="517">
        <f t="shared" si="1"/>
        <v>0.13315579227696406</v>
      </c>
      <c r="V88" s="517">
        <f t="shared" si="1"/>
        <v>0</v>
      </c>
      <c r="W88" s="517">
        <f t="shared" si="1"/>
        <v>0</v>
      </c>
      <c r="X88" s="517">
        <f t="shared" si="1"/>
        <v>0</v>
      </c>
      <c r="Y88" s="517">
        <f t="shared" si="1"/>
        <v>0.8421052631578948</v>
      </c>
      <c r="Z88" s="517">
        <f t="shared" si="1"/>
        <v>0</v>
      </c>
      <c r="AA88" s="517">
        <f t="shared" si="1"/>
        <v>0</v>
      </c>
      <c r="AB88" s="518">
        <f t="shared" si="1"/>
        <v>0</v>
      </c>
      <c r="AC88" s="130"/>
      <c r="AD88" s="130"/>
    </row>
    <row r="89" spans="1:30" s="67" customFormat="1" x14ac:dyDescent="0.25">
      <c r="A89" s="67" t="s">
        <v>203</v>
      </c>
      <c r="B89" s="690" t="s">
        <v>263</v>
      </c>
      <c r="C89" s="132" t="s">
        <v>390</v>
      </c>
      <c r="D89" s="496">
        <f xml:space="preserve"> (1.6105 + 0.5615 * E89 + 1.3511 * F89 + 0.000309 * G89 - 0.00379 * H89 - 0.00266* I89) / 55.65 * 1000/1000</f>
        <v>2.9338973663971257E-2</v>
      </c>
      <c r="E89" s="369">
        <f>E57</f>
        <v>1</v>
      </c>
      <c r="F89" s="370">
        <f t="shared" ref="F89:M89" si="2">F57</f>
        <v>0.2</v>
      </c>
      <c r="G89" s="370">
        <f t="shared" si="2"/>
        <v>167.87159999999997</v>
      </c>
      <c r="H89" s="370">
        <f t="shared" si="2"/>
        <v>138.68600000000001</v>
      </c>
      <c r="I89" s="370">
        <f t="shared" si="2"/>
        <v>126.22499999999999</v>
      </c>
      <c r="J89" s="370">
        <f t="shared" si="2"/>
        <v>1.7</v>
      </c>
      <c r="K89" s="370">
        <f t="shared" si="2"/>
        <v>81.58</v>
      </c>
      <c r="L89" s="370">
        <f>L57</f>
        <v>151.91999999999999</v>
      </c>
      <c r="M89" s="370">
        <f t="shared" si="2"/>
        <v>0</v>
      </c>
      <c r="N89" s="370">
        <f>N57</f>
        <v>0.70588235294117652</v>
      </c>
      <c r="O89" s="370">
        <f t="shared" ref="O89:AB89" si="3">O57</f>
        <v>0.2249718785151856</v>
      </c>
      <c r="P89" s="370">
        <f t="shared" si="3"/>
        <v>0.22598870056497175</v>
      </c>
      <c r="Q89" s="370">
        <f t="shared" si="3"/>
        <v>0</v>
      </c>
      <c r="R89" s="370">
        <f t="shared" si="3"/>
        <v>0</v>
      </c>
      <c r="S89" s="370">
        <f t="shared" si="3"/>
        <v>0</v>
      </c>
      <c r="T89" s="370">
        <f t="shared" si="3"/>
        <v>0</v>
      </c>
      <c r="U89" s="370">
        <f t="shared" si="3"/>
        <v>0.26631158455392812</v>
      </c>
      <c r="V89" s="370">
        <f t="shared" si="3"/>
        <v>0</v>
      </c>
      <c r="W89" s="370">
        <f t="shared" si="3"/>
        <v>0</v>
      </c>
      <c r="X89" s="370">
        <f t="shared" si="3"/>
        <v>0</v>
      </c>
      <c r="Y89" s="370">
        <f t="shared" si="3"/>
        <v>0.52631578947368418</v>
      </c>
      <c r="Z89" s="370">
        <f t="shared" si="3"/>
        <v>0</v>
      </c>
      <c r="AA89" s="370">
        <f t="shared" si="3"/>
        <v>0</v>
      </c>
      <c r="AB89" s="376">
        <f t="shared" si="3"/>
        <v>0</v>
      </c>
    </row>
    <row r="90" spans="1:30" s="67" customFormat="1" x14ac:dyDescent="0.25">
      <c r="A90" s="67" t="s">
        <v>203</v>
      </c>
      <c r="B90" s="690" t="s">
        <v>643</v>
      </c>
      <c r="C90" s="132"/>
      <c r="D90" s="496"/>
      <c r="E90" s="369"/>
      <c r="F90" s="370"/>
      <c r="G90" s="370"/>
      <c r="H90" s="370"/>
      <c r="I90" s="370"/>
      <c r="J90" s="370"/>
      <c r="K90" s="370"/>
      <c r="L90" s="370"/>
      <c r="M90" s="370"/>
      <c r="N90" s="370"/>
      <c r="O90" s="370"/>
      <c r="P90" s="370"/>
      <c r="Q90" s="370"/>
      <c r="R90" s="370"/>
      <c r="S90" s="370"/>
      <c r="T90" s="370"/>
      <c r="U90" s="370"/>
      <c r="V90" s="370"/>
      <c r="W90" s="370"/>
      <c r="X90" s="370"/>
      <c r="Y90" s="370"/>
      <c r="Z90" s="370"/>
      <c r="AA90" s="370"/>
      <c r="AB90" s="376"/>
    </row>
    <row r="91" spans="1:30" s="67" customFormat="1" x14ac:dyDescent="0.25">
      <c r="A91" s="67" t="s">
        <v>203</v>
      </c>
      <c r="B91" s="690" t="s">
        <v>644</v>
      </c>
      <c r="C91" s="132" t="s">
        <v>390</v>
      </c>
      <c r="D91" s="496">
        <f xml:space="preserve"> (1.6105 + 0.5615 * E91 + 1.3511 * F91 + 0.000309 * G91 - 0.00379 * H91 - 0.00266* I91) / 55.65 * 1000/1000</f>
        <v>0.16292711650266858</v>
      </c>
      <c r="E91" s="369">
        <f>E47</f>
        <v>0.19511105492879566</v>
      </c>
      <c r="F91" s="370">
        <f t="shared" ref="F91:M91" si="4">F47</f>
        <v>6.493480625972988</v>
      </c>
      <c r="G91" s="370">
        <f t="shared" si="4"/>
        <v>1731.811551156163</v>
      </c>
      <c r="H91" s="370">
        <f t="shared" si="4"/>
        <v>122.85821899158712</v>
      </c>
      <c r="I91" s="370">
        <f t="shared" si="4"/>
        <v>562.40587107152419</v>
      </c>
      <c r="J91" s="370">
        <f t="shared" si="4"/>
        <v>6.6885916809017827</v>
      </c>
      <c r="K91" s="370">
        <f t="shared" si="4"/>
        <v>18.443964544721997</v>
      </c>
      <c r="L91" s="370">
        <f t="shared" si="4"/>
        <v>397.83197421434335</v>
      </c>
      <c r="M91" s="370">
        <f t="shared" si="4"/>
        <v>18.355645321110067</v>
      </c>
      <c r="N91" s="370">
        <f t="shared" ref="N91:AB91" si="5">N47</f>
        <v>0</v>
      </c>
      <c r="O91" s="370">
        <f t="shared" si="5"/>
        <v>0.12948375132597933</v>
      </c>
      <c r="P91" s="370">
        <f t="shared" si="5"/>
        <v>0</v>
      </c>
      <c r="Q91" s="370">
        <f t="shared" si="5"/>
        <v>6.8682403201947544</v>
      </c>
      <c r="R91" s="370">
        <f t="shared" si="5"/>
        <v>0</v>
      </c>
      <c r="S91" s="370">
        <f t="shared" si="5"/>
        <v>0</v>
      </c>
      <c r="T91" s="370">
        <f t="shared" si="5"/>
        <v>5.5182343267436593</v>
      </c>
      <c r="U91" s="370">
        <f t="shared" si="5"/>
        <v>0</v>
      </c>
      <c r="V91" s="370">
        <f t="shared" si="5"/>
        <v>10.738649661827953</v>
      </c>
      <c r="W91" s="370">
        <f t="shared" si="5"/>
        <v>0</v>
      </c>
      <c r="X91" s="370">
        <f t="shared" si="5"/>
        <v>0</v>
      </c>
      <c r="Y91" s="370">
        <f t="shared" si="5"/>
        <v>0</v>
      </c>
      <c r="Z91" s="370">
        <f t="shared" si="5"/>
        <v>0.13344077356970185</v>
      </c>
      <c r="AA91" s="370">
        <f t="shared" si="5"/>
        <v>0.03</v>
      </c>
      <c r="AB91" s="376">
        <f t="shared" si="5"/>
        <v>0.05</v>
      </c>
    </row>
    <row r="92" spans="1:30" s="67" customFormat="1" x14ac:dyDescent="0.25">
      <c r="A92" s="67" t="s">
        <v>203</v>
      </c>
      <c r="B92" s="690" t="s">
        <v>645</v>
      </c>
      <c r="C92" s="132" t="s">
        <v>390</v>
      </c>
      <c r="D92" s="496">
        <f xml:space="preserve"> (1.6105 + 0.5615 * E92 + 1.3511 * F92 + 0.000309 * G92 - 0.00379 * H92 - 0.00266* I92) / 55.65 * 1000/1000</f>
        <v>0.16017604142893579</v>
      </c>
      <c r="E92" s="369">
        <f>E49</f>
        <v>0.11444611443218398</v>
      </c>
      <c r="F92" s="370">
        <f t="shared" ref="F92:M92" si="6">F49</f>
        <v>6.3420951687892515</v>
      </c>
      <c r="G92" s="370">
        <f t="shared" si="6"/>
        <v>1743.022517570635</v>
      </c>
      <c r="H92" s="370">
        <f t="shared" si="6"/>
        <v>112.6552942869137</v>
      </c>
      <c r="I92" s="370">
        <f t="shared" si="6"/>
        <v>541.87968528814883</v>
      </c>
      <c r="J92" s="370">
        <f t="shared" si="6"/>
        <v>6.4565412832214362</v>
      </c>
      <c r="K92" s="370">
        <f t="shared" si="6"/>
        <v>17.470226446743084</v>
      </c>
      <c r="L92" s="370">
        <f t="shared" si="6"/>
        <v>415.24419904948286</v>
      </c>
      <c r="M92" s="370">
        <f t="shared" si="6"/>
        <v>18.308943570912557</v>
      </c>
      <c r="N92" s="370">
        <f t="shared" ref="N92:AB92" si="7">N49</f>
        <v>0</v>
      </c>
      <c r="O92" s="370">
        <f t="shared" si="7"/>
        <v>3.874703535678739E-2</v>
      </c>
      <c r="P92" s="370">
        <f t="shared" si="7"/>
        <v>0</v>
      </c>
      <c r="Q92" s="370">
        <f t="shared" si="7"/>
        <v>6.4956274316172316</v>
      </c>
      <c r="R92" s="370">
        <f t="shared" si="7"/>
        <v>0</v>
      </c>
      <c r="S92" s="370">
        <f t="shared" si="7"/>
        <v>0</v>
      </c>
      <c r="T92" s="370">
        <f t="shared" si="7"/>
        <v>5.0917235825274023</v>
      </c>
      <c r="U92" s="370">
        <f t="shared" si="7"/>
        <v>0</v>
      </c>
      <c r="V92" s="370">
        <f t="shared" si="7"/>
        <v>9.7643662748234608</v>
      </c>
      <c r="W92" s="370">
        <f t="shared" si="7"/>
        <v>0</v>
      </c>
      <c r="X92" s="370">
        <f t="shared" si="7"/>
        <v>0</v>
      </c>
      <c r="Y92" s="370">
        <f t="shared" si="7"/>
        <v>0</v>
      </c>
      <c r="Z92" s="370">
        <f t="shared" si="7"/>
        <v>0.50143753021717852</v>
      </c>
      <c r="AA92" s="370">
        <f t="shared" si="7"/>
        <v>0.03</v>
      </c>
      <c r="AB92" s="376">
        <f t="shared" si="7"/>
        <v>0.05</v>
      </c>
    </row>
    <row r="93" spans="1:30" s="67" customFormat="1" x14ac:dyDescent="0.25">
      <c r="A93" s="67" t="s">
        <v>203</v>
      </c>
      <c r="B93" s="690" t="s">
        <v>646</v>
      </c>
      <c r="C93" s="132" t="s">
        <v>390</v>
      </c>
      <c r="D93" s="496">
        <f xml:space="preserve"> (1.6105 + 0.5615 * E93 + 1.3511 * F93 + 0.000309 * G93 - 0.00379 * H93 - 0.00266* I93) / 55.65 * 1000/1000</f>
        <v>0.1516928804400032</v>
      </c>
      <c r="E93" s="369">
        <f>E55</f>
        <v>0.3334246575342466</v>
      </c>
      <c r="F93" s="370">
        <f t="shared" ref="F93:M93" si="8">F55</f>
        <v>6.1696010076282821</v>
      </c>
      <c r="G93" s="370">
        <f t="shared" si="8"/>
        <v>1774.7047616349596</v>
      </c>
      <c r="H93" s="370">
        <f t="shared" si="8"/>
        <v>127.82885735456055</v>
      </c>
      <c r="I93" s="370">
        <f t="shared" si="8"/>
        <v>660.0261173298087</v>
      </c>
      <c r="J93" s="370">
        <f t="shared" si="8"/>
        <v>6.5038194041298567</v>
      </c>
      <c r="K93" s="370">
        <f t="shared" si="8"/>
        <v>19.504902862392225</v>
      </c>
      <c r="L93" s="370">
        <f t="shared" si="8"/>
        <v>420.05639697539834</v>
      </c>
      <c r="M93" s="370">
        <f t="shared" si="8"/>
        <v>18.934763208998724</v>
      </c>
      <c r="N93" s="370">
        <f t="shared" ref="N93:AB93" si="9">N55</f>
        <v>0.29814665592264306</v>
      </c>
      <c r="O93" s="370">
        <f t="shared" si="9"/>
        <v>0</v>
      </c>
      <c r="P93" s="370">
        <f t="shared" si="9"/>
        <v>0</v>
      </c>
      <c r="Q93" s="370">
        <f t="shared" si="9"/>
        <v>0</v>
      </c>
      <c r="R93" s="370">
        <f t="shared" si="9"/>
        <v>0</v>
      </c>
      <c r="S93" s="370">
        <f t="shared" si="9"/>
        <v>7.7512168691843479</v>
      </c>
      <c r="T93" s="370">
        <f t="shared" si="9"/>
        <v>0</v>
      </c>
      <c r="U93" s="370">
        <f t="shared" si="9"/>
        <v>0</v>
      </c>
      <c r="V93" s="370">
        <f t="shared" si="9"/>
        <v>14.437245227912452</v>
      </c>
      <c r="W93" s="370">
        <f t="shared" si="9"/>
        <v>0</v>
      </c>
      <c r="X93" s="370">
        <f t="shared" si="9"/>
        <v>0</v>
      </c>
      <c r="Y93" s="370">
        <f t="shared" si="9"/>
        <v>0</v>
      </c>
      <c r="Z93" s="370">
        <f t="shared" si="9"/>
        <v>1.0002585241415707</v>
      </c>
      <c r="AA93" s="370">
        <f t="shared" si="9"/>
        <v>0.03</v>
      </c>
      <c r="AB93" s="376">
        <f t="shared" si="9"/>
        <v>0.05</v>
      </c>
    </row>
    <row r="94" spans="1:30" s="67" customFormat="1" x14ac:dyDescent="0.25">
      <c r="A94" s="67" t="s">
        <v>203</v>
      </c>
      <c r="B94" s="690" t="s">
        <v>647</v>
      </c>
      <c r="C94" s="315" t="s">
        <v>387</v>
      </c>
      <c r="D94" s="497">
        <f xml:space="preserve"> (1.23 * J94 - 0.145 * K94 + 0.012 * L94) / 55.65 * 1000/1000</f>
        <v>0.48157221030608621</v>
      </c>
      <c r="E94" s="369">
        <f>E45</f>
        <v>8.94668513524838</v>
      </c>
      <c r="F94" s="370">
        <f t="shared" ref="F94:L94" si="10">F45</f>
        <v>13.091884972831975</v>
      </c>
      <c r="G94" s="370">
        <f t="shared" si="10"/>
        <v>4754.3995678610818</v>
      </c>
      <c r="H94" s="370">
        <f t="shared" si="10"/>
        <v>652.12699828858558</v>
      </c>
      <c r="I94" s="370">
        <f t="shared" si="10"/>
        <v>1288.5980717579621</v>
      </c>
      <c r="J94" s="370">
        <f>J45</f>
        <v>22.038570108080357</v>
      </c>
      <c r="K94" s="370">
        <f>K45</f>
        <v>29.591257271533117</v>
      </c>
      <c r="L94" s="370">
        <f t="shared" si="10"/>
        <v>331.89871458059673</v>
      </c>
      <c r="M94" s="370">
        <f>M45</f>
        <v>19.12441108606906</v>
      </c>
      <c r="N94" s="370">
        <f t="shared" ref="N94:AB94" si="11">N45</f>
        <v>4.7544818090350098</v>
      </c>
      <c r="O94" s="370">
        <f t="shared" si="11"/>
        <v>0.19512547486677473</v>
      </c>
      <c r="P94" s="370">
        <f t="shared" si="11"/>
        <v>5.1570387986459965</v>
      </c>
      <c r="Q94" s="370">
        <f t="shared" si="11"/>
        <v>21.440273188453411</v>
      </c>
      <c r="R94" s="370">
        <f t="shared" si="11"/>
        <v>0</v>
      </c>
      <c r="S94" s="370">
        <f t="shared" si="11"/>
        <v>9.2249525298452415</v>
      </c>
      <c r="T94" s="370">
        <f t="shared" si="11"/>
        <v>0</v>
      </c>
      <c r="U94" s="370">
        <f t="shared" si="11"/>
        <v>0</v>
      </c>
      <c r="V94" s="370">
        <f t="shared" si="11"/>
        <v>11.709341558043691</v>
      </c>
      <c r="W94" s="370">
        <f t="shared" si="11"/>
        <v>0</v>
      </c>
      <c r="X94" s="370">
        <f t="shared" si="11"/>
        <v>0</v>
      </c>
      <c r="Y94" s="370">
        <f t="shared" si="11"/>
        <v>0</v>
      </c>
      <c r="Z94" s="370">
        <f t="shared" si="11"/>
        <v>0.36055336237070545</v>
      </c>
      <c r="AA94" s="370">
        <f t="shared" si="11"/>
        <v>6.792971361035173E-2</v>
      </c>
      <c r="AB94" s="376">
        <f t="shared" si="11"/>
        <v>0.1</v>
      </c>
    </row>
    <row r="95" spans="1:30" s="67" customFormat="1" x14ac:dyDescent="0.25">
      <c r="A95" s="67" t="s">
        <v>203</v>
      </c>
      <c r="B95" s="690" t="s">
        <v>648</v>
      </c>
      <c r="C95" s="315"/>
      <c r="D95" s="497"/>
      <c r="E95" s="369"/>
      <c r="F95" s="370"/>
      <c r="G95" s="370"/>
      <c r="H95" s="370"/>
      <c r="I95" s="370"/>
      <c r="J95" s="370"/>
      <c r="K95" s="370"/>
      <c r="L95" s="370"/>
      <c r="M95" s="370"/>
      <c r="N95" s="370">
        <f>N59</f>
        <v>0.11764705882352942</v>
      </c>
      <c r="O95" s="370">
        <f t="shared" ref="O95:AB95" si="12">O59</f>
        <v>0.1124859392575928</v>
      </c>
      <c r="P95" s="370">
        <f t="shared" si="12"/>
        <v>0.11299435028248588</v>
      </c>
      <c r="Q95" s="370">
        <f t="shared" si="12"/>
        <v>0</v>
      </c>
      <c r="R95" s="370">
        <f t="shared" si="12"/>
        <v>0</v>
      </c>
      <c r="S95" s="370">
        <f t="shared" si="12"/>
        <v>0</v>
      </c>
      <c r="T95" s="370">
        <f t="shared" si="12"/>
        <v>0</v>
      </c>
      <c r="U95" s="370">
        <f t="shared" si="12"/>
        <v>0.13315579227696406</v>
      </c>
      <c r="V95" s="370">
        <f t="shared" si="12"/>
        <v>0</v>
      </c>
      <c r="W95" s="370">
        <f t="shared" si="12"/>
        <v>0</v>
      </c>
      <c r="X95" s="370">
        <f t="shared" si="12"/>
        <v>0</v>
      </c>
      <c r="Y95" s="370">
        <f t="shared" si="12"/>
        <v>0.8421052631578948</v>
      </c>
      <c r="Z95" s="370">
        <f t="shared" si="12"/>
        <v>0</v>
      </c>
      <c r="AA95" s="370">
        <f t="shared" si="12"/>
        <v>0</v>
      </c>
      <c r="AB95" s="370">
        <f t="shared" si="12"/>
        <v>0</v>
      </c>
    </row>
    <row r="96" spans="1:30" s="67" customFormat="1" x14ac:dyDescent="0.25">
      <c r="A96" s="67" t="s">
        <v>203</v>
      </c>
      <c r="B96" s="690" t="s">
        <v>633</v>
      </c>
      <c r="C96" s="132" t="s">
        <v>390</v>
      </c>
      <c r="D96" s="496">
        <f xml:space="preserve"> (1.6105 + 0.5615 * E96 + 1.3511 * F96 + 0.000309 * G96 - 0.00379 * H96 - 0.00266* I96) / 55.65 * 1000/1000</f>
        <v>2.9338973663971257E-2</v>
      </c>
      <c r="E96" s="369">
        <f>E57</f>
        <v>1</v>
      </c>
      <c r="F96" s="370">
        <f t="shared" ref="F96:M96" si="13">F57</f>
        <v>0.2</v>
      </c>
      <c r="G96" s="370">
        <f t="shared" si="13"/>
        <v>167.87159999999997</v>
      </c>
      <c r="H96" s="370">
        <f t="shared" si="13"/>
        <v>138.68600000000001</v>
      </c>
      <c r="I96" s="370">
        <f t="shared" si="13"/>
        <v>126.22499999999999</v>
      </c>
      <c r="J96" s="370">
        <f t="shared" si="13"/>
        <v>1.7</v>
      </c>
      <c r="K96" s="370">
        <f t="shared" si="13"/>
        <v>81.58</v>
      </c>
      <c r="L96" s="370">
        <f t="shared" si="13"/>
        <v>151.91999999999999</v>
      </c>
      <c r="M96" s="370">
        <f t="shared" si="13"/>
        <v>0</v>
      </c>
      <c r="N96" s="370">
        <f t="shared" ref="N96:AB96" si="14">N57</f>
        <v>0.70588235294117652</v>
      </c>
      <c r="O96" s="370">
        <f t="shared" si="14"/>
        <v>0.2249718785151856</v>
      </c>
      <c r="P96" s="370">
        <f t="shared" si="14"/>
        <v>0.22598870056497175</v>
      </c>
      <c r="Q96" s="370">
        <f t="shared" si="14"/>
        <v>0</v>
      </c>
      <c r="R96" s="370">
        <f t="shared" si="14"/>
        <v>0</v>
      </c>
      <c r="S96" s="370">
        <f t="shared" si="14"/>
        <v>0</v>
      </c>
      <c r="T96" s="370">
        <f t="shared" si="14"/>
        <v>0</v>
      </c>
      <c r="U96" s="370">
        <f t="shared" si="14"/>
        <v>0.26631158455392812</v>
      </c>
      <c r="V96" s="370">
        <f t="shared" si="14"/>
        <v>0</v>
      </c>
      <c r="W96" s="370">
        <f t="shared" si="14"/>
        <v>0</v>
      </c>
      <c r="X96" s="370">
        <f t="shared" si="14"/>
        <v>0</v>
      </c>
      <c r="Y96" s="370">
        <f t="shared" si="14"/>
        <v>0.52631578947368418</v>
      </c>
      <c r="Z96" s="370">
        <f t="shared" si="14"/>
        <v>0</v>
      </c>
      <c r="AA96" s="370">
        <f t="shared" si="14"/>
        <v>0</v>
      </c>
      <c r="AB96" s="376">
        <f t="shared" si="14"/>
        <v>0</v>
      </c>
    </row>
    <row r="97" spans="1:29" s="67" customFormat="1" x14ac:dyDescent="0.25">
      <c r="A97" s="67" t="s">
        <v>203</v>
      </c>
      <c r="B97" s="690" t="s">
        <v>649</v>
      </c>
      <c r="C97" s="132"/>
      <c r="D97" s="496"/>
      <c r="E97" s="369"/>
      <c r="F97" s="370"/>
      <c r="G97" s="370"/>
      <c r="H97" s="370"/>
      <c r="I97" s="370"/>
      <c r="J97" s="370"/>
      <c r="K97" s="370"/>
      <c r="L97" s="370"/>
      <c r="M97" s="370"/>
      <c r="N97" s="370"/>
      <c r="O97" s="370"/>
      <c r="P97" s="370"/>
      <c r="Q97" s="370"/>
      <c r="R97" s="370"/>
      <c r="S97" s="370"/>
      <c r="T97" s="370"/>
      <c r="U97" s="370"/>
      <c r="V97" s="370"/>
      <c r="W97" s="370"/>
      <c r="X97" s="370"/>
      <c r="Y97" s="370"/>
      <c r="Z97" s="370"/>
      <c r="AA97" s="370"/>
      <c r="AB97" s="376"/>
    </row>
    <row r="98" spans="1:29" s="67" customFormat="1" x14ac:dyDescent="0.25">
      <c r="A98" s="67" t="s">
        <v>203</v>
      </c>
      <c r="B98" s="690" t="s">
        <v>650</v>
      </c>
      <c r="C98" s="132" t="s">
        <v>390</v>
      </c>
      <c r="D98" s="496">
        <f xml:space="preserve"> (1.6105 + 0.5615 * E98 + 1.3511 * F98 + 0.000309 * G98 - 0.00379 * H98 - 0.00266* I98) / 55.65 * 1000/1000</f>
        <v>0.10055835841536831</v>
      </c>
      <c r="E98" s="369">
        <f>E51</f>
        <v>3.5233476814952964</v>
      </c>
      <c r="F98" s="370">
        <f t="shared" ref="F98:M98" si="15">F51</f>
        <v>2.3001276206843353</v>
      </c>
      <c r="G98" s="370">
        <f t="shared" si="15"/>
        <v>1137.6662893995449</v>
      </c>
      <c r="H98" s="370">
        <f t="shared" si="15"/>
        <v>153.04930760524289</v>
      </c>
      <c r="I98" s="370">
        <f t="shared" si="15"/>
        <v>327.80883956825443</v>
      </c>
      <c r="J98" s="370">
        <f t="shared" si="15"/>
        <v>5.8234753021796317</v>
      </c>
      <c r="K98" s="370">
        <f t="shared" si="15"/>
        <v>26.281438430409249</v>
      </c>
      <c r="L98" s="370">
        <f t="shared" si="15"/>
        <v>300.55177347285417</v>
      </c>
      <c r="M98" s="370">
        <f t="shared" si="15"/>
        <v>18.786670144792001</v>
      </c>
      <c r="N98" s="370">
        <f t="shared" ref="N98:AB98" si="16">N51</f>
        <v>3.1049443671830268</v>
      </c>
      <c r="O98" s="370">
        <f t="shared" si="16"/>
        <v>0</v>
      </c>
      <c r="P98" s="370">
        <f t="shared" si="16"/>
        <v>0.85779092586409456</v>
      </c>
      <c r="Q98" s="370">
        <f t="shared" si="16"/>
        <v>4.6808835604463432</v>
      </c>
      <c r="R98" s="370">
        <f t="shared" si="16"/>
        <v>0</v>
      </c>
      <c r="S98" s="370">
        <f t="shared" si="16"/>
        <v>0</v>
      </c>
      <c r="T98" s="370">
        <f t="shared" si="16"/>
        <v>0</v>
      </c>
      <c r="U98" s="370">
        <f t="shared" si="16"/>
        <v>0</v>
      </c>
      <c r="V98" s="370">
        <f t="shared" si="16"/>
        <v>0</v>
      </c>
      <c r="W98" s="370">
        <f t="shared" si="16"/>
        <v>0</v>
      </c>
      <c r="X98" s="370">
        <f t="shared" si="16"/>
        <v>0</v>
      </c>
      <c r="Y98" s="370">
        <f t="shared" si="16"/>
        <v>0</v>
      </c>
      <c r="Z98" s="370">
        <f t="shared" si="16"/>
        <v>0.79513061789347528</v>
      </c>
      <c r="AA98" s="370">
        <f t="shared" si="16"/>
        <v>7.4999999999999997E-2</v>
      </c>
      <c r="AB98" s="376">
        <f t="shared" si="16"/>
        <v>0.05</v>
      </c>
    </row>
    <row r="99" spans="1:29" s="67" customFormat="1" x14ac:dyDescent="0.25">
      <c r="A99" s="67" t="s">
        <v>203</v>
      </c>
      <c r="B99" s="691" t="s">
        <v>651</v>
      </c>
      <c r="C99" s="132" t="s">
        <v>390</v>
      </c>
      <c r="D99" s="496">
        <f xml:space="preserve"> (1.6105 + 0.5615 * E99 + 1.3511 * F99 + 0.000309 * G99 - 0.00379 * H99 - 0.00266* I99) / 55.65 * 1000/1000</f>
        <v>0.1039067209744752</v>
      </c>
      <c r="E99" s="519">
        <f>E53</f>
        <v>3.4854877468286922</v>
      </c>
      <c r="F99" s="520">
        <f t="shared" ref="F99:M99" si="17">F53</f>
        <v>2.5327219913500372</v>
      </c>
      <c r="G99" s="520">
        <f t="shared" si="17"/>
        <v>1202.707826293394</v>
      </c>
      <c r="H99" s="520">
        <f t="shared" si="17"/>
        <v>172.21920498722832</v>
      </c>
      <c r="I99" s="520">
        <f t="shared" si="17"/>
        <v>348.14998554543803</v>
      </c>
      <c r="J99" s="520">
        <f t="shared" si="17"/>
        <v>6.0212356550820756</v>
      </c>
      <c r="K99" s="520">
        <f t="shared" si="17"/>
        <v>28.601970567597856</v>
      </c>
      <c r="L99" s="520">
        <f t="shared" si="17"/>
        <v>307.29900617614106</v>
      </c>
      <c r="M99" s="520">
        <f t="shared" si="17"/>
        <v>18.838335442016767</v>
      </c>
      <c r="N99" s="520">
        <f t="shared" ref="N99:AB99" si="18">N53</f>
        <v>2.7662520162912361</v>
      </c>
      <c r="O99" s="520">
        <f t="shared" si="18"/>
        <v>0</v>
      </c>
      <c r="P99" s="520">
        <f t="shared" si="18"/>
        <v>1.1403090768148494</v>
      </c>
      <c r="Q99" s="520">
        <f t="shared" si="18"/>
        <v>5.3021019721557421</v>
      </c>
      <c r="R99" s="520">
        <f t="shared" si="18"/>
        <v>0</v>
      </c>
      <c r="S99" s="520">
        <f t="shared" si="18"/>
        <v>0</v>
      </c>
      <c r="T99" s="520">
        <f t="shared" si="18"/>
        <v>0</v>
      </c>
      <c r="U99" s="520">
        <f t="shared" si="18"/>
        <v>0</v>
      </c>
      <c r="V99" s="520">
        <f t="shared" si="18"/>
        <v>0</v>
      </c>
      <c r="W99" s="520">
        <f t="shared" si="18"/>
        <v>0</v>
      </c>
      <c r="X99" s="520">
        <f t="shared" si="18"/>
        <v>0</v>
      </c>
      <c r="Y99" s="520">
        <f t="shared" si="18"/>
        <v>0</v>
      </c>
      <c r="Z99" s="520">
        <f t="shared" si="18"/>
        <v>0.81516777295528819</v>
      </c>
      <c r="AA99" s="520">
        <f t="shared" si="18"/>
        <v>7.4999999999999997E-2</v>
      </c>
      <c r="AB99" s="521">
        <f t="shared" si="18"/>
        <v>0.05</v>
      </c>
    </row>
    <row r="100" spans="1:29" s="67" customFormat="1" x14ac:dyDescent="0.25">
      <c r="A100" s="523" t="s">
        <v>203</v>
      </c>
      <c r="B100" s="692"/>
      <c r="C100" s="12" t="s">
        <v>687</v>
      </c>
      <c r="D100" s="522"/>
      <c r="E100" s="370"/>
      <c r="F100" s="370"/>
      <c r="G100" s="370"/>
      <c r="H100" s="370"/>
      <c r="I100" s="370"/>
      <c r="J100" s="370"/>
      <c r="K100" s="370"/>
      <c r="L100" s="370"/>
      <c r="M100" s="370"/>
      <c r="N100" s="370"/>
      <c r="O100" s="370"/>
      <c r="P100" s="370"/>
      <c r="Q100" s="370"/>
      <c r="R100" s="370"/>
      <c r="S100" s="370"/>
      <c r="T100" s="370"/>
      <c r="U100" s="370"/>
      <c r="V100" s="370"/>
      <c r="W100" s="370"/>
      <c r="X100" s="370"/>
      <c r="Y100" s="370"/>
      <c r="Z100" s="370"/>
      <c r="AA100" s="370"/>
      <c r="AB100" s="370"/>
      <c r="AC100" s="523"/>
    </row>
    <row r="101" spans="1:29" s="67" customFormat="1" x14ac:dyDescent="0.25">
      <c r="A101" s="523" t="s">
        <v>203</v>
      </c>
      <c r="B101" s="580" t="str">
        <f>B94</f>
        <v>Malkekøer, tung race Køer (1year)</v>
      </c>
      <c r="C101" s="547" t="s">
        <v>698</v>
      </c>
      <c r="D101" s="548">
        <f>J94 * (M94) / 55.65 * (D104*D45/365+D103*D46/365)</f>
        <v>0.44371324887317853</v>
      </c>
      <c r="F101" s="370"/>
      <c r="H101" s="370"/>
      <c r="I101" s="370"/>
      <c r="J101" s="370"/>
      <c r="K101" s="370"/>
      <c r="L101" s="370"/>
      <c r="M101" s="370"/>
      <c r="N101" s="370"/>
      <c r="O101" s="370"/>
      <c r="P101" s="370"/>
      <c r="Q101" s="370"/>
      <c r="R101" s="370"/>
      <c r="S101" s="370"/>
      <c r="T101" s="370"/>
      <c r="U101" s="370"/>
      <c r="V101" s="370"/>
      <c r="W101" s="370"/>
      <c r="X101" s="370"/>
      <c r="Y101" s="370"/>
      <c r="Z101" s="370"/>
      <c r="AA101" s="370"/>
      <c r="AB101" s="370"/>
      <c r="AC101" s="523"/>
    </row>
    <row r="102" spans="1:29" s="67" customFormat="1" x14ac:dyDescent="0.25">
      <c r="A102" s="523" t="s">
        <v>203</v>
      </c>
      <c r="B102" s="692"/>
      <c r="C102" s="549"/>
      <c r="D102" s="522"/>
      <c r="H102" s="370"/>
      <c r="I102" s="370"/>
      <c r="J102" s="370"/>
      <c r="K102" s="370"/>
      <c r="L102" s="370"/>
      <c r="M102" s="370"/>
      <c r="N102" s="370"/>
      <c r="O102" s="370"/>
      <c r="P102" s="370"/>
      <c r="Q102" s="370"/>
      <c r="R102" s="370"/>
      <c r="S102" s="370"/>
      <c r="T102" s="370"/>
      <c r="U102" s="370"/>
      <c r="V102" s="370"/>
      <c r="W102" s="370"/>
      <c r="X102" s="370"/>
      <c r="Y102" s="370"/>
      <c r="Z102" s="370"/>
      <c r="AA102" s="370"/>
      <c r="AB102" s="370"/>
      <c r="AC102" s="523"/>
    </row>
    <row r="103" spans="1:29" x14ac:dyDescent="0.25">
      <c r="A103" s="5" t="s">
        <v>203</v>
      </c>
      <c r="B103" s="523" t="s">
        <v>690</v>
      </c>
      <c r="C103" s="675" t="s">
        <v>696</v>
      </c>
      <c r="D103" s="581">
        <f>INDEX('CH4_enterisk, formulas'!$C$18:$D$23,MATCH('EntericFer &amp; FeedCultiv'!C103,'CH4_enterisk, formulas'!$C$18:$C$23,0),2)</f>
        <v>5.7599999999999998E-2</v>
      </c>
      <c r="F103" s="551"/>
      <c r="G103" s="5"/>
      <c r="H103" s="5"/>
      <c r="I103" s="5"/>
      <c r="J103" s="5"/>
      <c r="K103" s="5"/>
      <c r="L103" s="5"/>
      <c r="M103" s="72"/>
      <c r="N103" s="87"/>
      <c r="O103" s="87"/>
      <c r="P103" s="87"/>
      <c r="Q103" s="87"/>
      <c r="R103" s="87"/>
      <c r="S103" s="87"/>
      <c r="T103" s="87"/>
      <c r="U103" s="87"/>
      <c r="V103" s="87"/>
      <c r="W103" s="87"/>
      <c r="X103" s="87"/>
      <c r="Y103" s="87"/>
      <c r="Z103" s="87"/>
      <c r="AA103" s="87"/>
      <c r="AB103" s="5"/>
      <c r="AC103" s="5"/>
    </row>
    <row r="104" spans="1:29" x14ac:dyDescent="0.25">
      <c r="A104" s="5" t="s">
        <v>203</v>
      </c>
      <c r="B104" s="370" t="s">
        <v>500</v>
      </c>
      <c r="C104" s="675" t="s">
        <v>694</v>
      </c>
      <c r="D104" s="581">
        <f>INDEX('CH4_enterisk, formulas'!$C$18:$D$23,MATCH('EntericFer &amp; FeedCultiv'!C104,'CH4_enterisk, formulas'!$C$18:$C$23,0),2)</f>
        <v>0.06</v>
      </c>
      <c r="F104" s="552"/>
      <c r="G104" s="367"/>
      <c r="H104" s="367"/>
      <c r="I104" s="367"/>
      <c r="J104" s="368"/>
      <c r="K104" s="368"/>
      <c r="L104" s="368"/>
      <c r="M104" s="367"/>
      <c r="N104" s="370"/>
      <c r="O104" s="17"/>
      <c r="P104" s="17"/>
      <c r="Q104" s="17"/>
      <c r="R104" s="17"/>
      <c r="S104" s="17"/>
      <c r="T104" s="17"/>
      <c r="U104" s="17"/>
      <c r="V104" s="17"/>
      <c r="W104" s="17"/>
      <c r="X104" s="17"/>
      <c r="Y104" s="17"/>
      <c r="Z104" s="17"/>
      <c r="AA104" s="17"/>
      <c r="AB104" s="17"/>
      <c r="AC104" s="5"/>
    </row>
    <row r="105" spans="1:29" x14ac:dyDescent="0.25">
      <c r="A105" s="5" t="s">
        <v>203</v>
      </c>
      <c r="C105" s="5"/>
      <c r="D105" s="522"/>
      <c r="F105" s="370"/>
      <c r="G105" s="370"/>
      <c r="H105" s="370"/>
      <c r="I105" s="370"/>
      <c r="J105" s="370"/>
      <c r="K105" s="370"/>
      <c r="L105" s="370"/>
      <c r="M105" s="370"/>
      <c r="N105" s="370"/>
      <c r="O105" s="370"/>
      <c r="P105" s="370"/>
      <c r="Q105" s="370"/>
      <c r="R105" s="370"/>
      <c r="S105" s="370"/>
      <c r="T105" s="370"/>
      <c r="U105" s="370"/>
      <c r="V105" s="370"/>
      <c r="W105" s="370"/>
      <c r="X105" s="370"/>
      <c r="Y105" s="370"/>
      <c r="Z105" s="370"/>
      <c r="AA105" s="370"/>
      <c r="AB105" s="370"/>
      <c r="AC105" s="5"/>
    </row>
    <row r="106" spans="1:29" x14ac:dyDescent="0.25">
      <c r="A106" s="5" t="s">
        <v>203</v>
      </c>
      <c r="B106" s="5"/>
      <c r="C106" s="12" t="s">
        <v>686</v>
      </c>
      <c r="D106" s="522"/>
      <c r="E106" s="551"/>
      <c r="F106" s="370"/>
      <c r="G106" s="370"/>
      <c r="H106" s="370"/>
      <c r="I106" s="370"/>
      <c r="J106" s="370"/>
      <c r="K106" s="370"/>
      <c r="L106" s="370"/>
      <c r="M106" s="370"/>
      <c r="N106" s="370"/>
      <c r="O106" s="370"/>
      <c r="P106" s="370"/>
      <c r="Q106" s="370"/>
      <c r="R106" s="370"/>
      <c r="S106" s="370"/>
      <c r="T106" s="370"/>
      <c r="U106" s="370"/>
      <c r="V106" s="370"/>
      <c r="W106" s="370"/>
      <c r="X106" s="370"/>
      <c r="Y106" s="370"/>
      <c r="Z106" s="370"/>
      <c r="AA106" s="370"/>
      <c r="AB106" s="370"/>
      <c r="AC106" s="5"/>
    </row>
    <row r="107" spans="1:29" x14ac:dyDescent="0.25">
      <c r="A107" t="s">
        <v>203</v>
      </c>
      <c r="B107" s="689" t="s">
        <v>621</v>
      </c>
      <c r="D107" s="512"/>
      <c r="E107" s="514"/>
      <c r="F107" s="515"/>
      <c r="G107" s="515"/>
      <c r="H107" s="515"/>
      <c r="I107" s="515"/>
      <c r="J107" s="516"/>
      <c r="K107" s="516"/>
      <c r="L107" s="516"/>
      <c r="M107" s="515"/>
      <c r="N107" s="517">
        <f>N78</f>
        <v>0.10588235294117648</v>
      </c>
      <c r="O107" s="517">
        <f t="shared" ref="O107:AB107" si="19">O78</f>
        <v>0.10123734533183353</v>
      </c>
      <c r="P107" s="517">
        <f t="shared" si="19"/>
        <v>0.10169491525423729</v>
      </c>
      <c r="Q107" s="517">
        <f t="shared" si="19"/>
        <v>0</v>
      </c>
      <c r="R107" s="517">
        <f t="shared" si="19"/>
        <v>0</v>
      </c>
      <c r="S107" s="517">
        <f t="shared" si="19"/>
        <v>0</v>
      </c>
      <c r="T107" s="517">
        <f t="shared" si="19"/>
        <v>0</v>
      </c>
      <c r="U107" s="517">
        <f t="shared" si="19"/>
        <v>0</v>
      </c>
      <c r="V107" s="517">
        <f t="shared" si="19"/>
        <v>0</v>
      </c>
      <c r="W107" s="517">
        <f t="shared" si="19"/>
        <v>0</v>
      </c>
      <c r="X107" s="517">
        <f t="shared" si="19"/>
        <v>0</v>
      </c>
      <c r="Y107" s="517">
        <f t="shared" si="19"/>
        <v>0.52631578947368418</v>
      </c>
      <c r="Z107" s="517">
        <f t="shared" si="19"/>
        <v>0</v>
      </c>
      <c r="AA107" s="517">
        <f t="shared" si="19"/>
        <v>0</v>
      </c>
      <c r="AB107" s="518">
        <f t="shared" si="19"/>
        <v>0</v>
      </c>
    </row>
    <row r="108" spans="1:29" x14ac:dyDescent="0.25">
      <c r="B108" s="690" t="s">
        <v>263</v>
      </c>
      <c r="C108" s="132" t="s">
        <v>390</v>
      </c>
      <c r="D108" s="496">
        <f xml:space="preserve"> (1.6105 + 0.5615 * E108 + 1.3511 * F108 + 0.000309 * G108 - 0.00379 * H108 - 0.00266* I108) / 55.65 * 1000/1000</f>
        <v>3.6695385500034566E-2</v>
      </c>
      <c r="E108" s="369">
        <f>E76</f>
        <v>0.8</v>
      </c>
      <c r="F108" s="370">
        <f t="shared" ref="F108:K108" si="20">F76</f>
        <v>0.4</v>
      </c>
      <c r="G108" s="370">
        <f t="shared" si="20"/>
        <v>121.92</v>
      </c>
      <c r="H108" s="370">
        <f t="shared" si="20"/>
        <v>94.33846153846153</v>
      </c>
      <c r="I108" s="370">
        <f t="shared" si="20"/>
        <v>89.538461538461533</v>
      </c>
      <c r="J108" s="370">
        <f t="shared" si="20"/>
        <v>1.2</v>
      </c>
      <c r="K108" s="370">
        <f t="shared" si="20"/>
        <v>78.615384615384613</v>
      </c>
      <c r="L108" s="370">
        <f>L76</f>
        <v>156.30769230769232</v>
      </c>
      <c r="M108" s="370">
        <f t="shared" ref="M108" si="21">M76</f>
        <v>0</v>
      </c>
      <c r="N108" s="370">
        <f>N76</f>
        <v>0.35294117647058826</v>
      </c>
      <c r="O108" s="370">
        <f t="shared" ref="O108:AB108" si="22">O76</f>
        <v>0.1687289088863892</v>
      </c>
      <c r="P108" s="370">
        <f t="shared" si="22"/>
        <v>0.16949152542372881</v>
      </c>
      <c r="Q108" s="370">
        <f t="shared" si="22"/>
        <v>0</v>
      </c>
      <c r="R108" s="370">
        <f t="shared" si="22"/>
        <v>0</v>
      </c>
      <c r="S108" s="370">
        <f t="shared" si="22"/>
        <v>0</v>
      </c>
      <c r="T108" s="370">
        <f t="shared" si="22"/>
        <v>0</v>
      </c>
      <c r="U108" s="370">
        <f t="shared" si="22"/>
        <v>0.26631158455392812</v>
      </c>
      <c r="V108" s="370">
        <f t="shared" si="22"/>
        <v>0</v>
      </c>
      <c r="W108" s="370">
        <f t="shared" si="22"/>
        <v>0</v>
      </c>
      <c r="X108" s="370">
        <f t="shared" si="22"/>
        <v>0</v>
      </c>
      <c r="Y108" s="370">
        <f t="shared" si="22"/>
        <v>0.4210526315789474</v>
      </c>
      <c r="Z108" s="370">
        <f t="shared" si="22"/>
        <v>0</v>
      </c>
      <c r="AA108" s="370">
        <f t="shared" si="22"/>
        <v>0</v>
      </c>
      <c r="AB108" s="376">
        <f t="shared" si="22"/>
        <v>0</v>
      </c>
    </row>
    <row r="109" spans="1:29" x14ac:dyDescent="0.25">
      <c r="B109" s="690" t="s">
        <v>622</v>
      </c>
      <c r="C109" s="132"/>
      <c r="D109" s="496"/>
      <c r="E109" s="369"/>
      <c r="F109" s="370"/>
      <c r="G109" s="370"/>
      <c r="H109" s="370"/>
      <c r="I109" s="370"/>
      <c r="J109" s="370"/>
      <c r="K109" s="370"/>
      <c r="L109" s="370"/>
      <c r="M109" s="370"/>
      <c r="N109" s="370"/>
      <c r="O109" s="370"/>
      <c r="P109" s="370"/>
      <c r="Q109" s="370"/>
      <c r="R109" s="370"/>
      <c r="S109" s="370"/>
      <c r="T109" s="370"/>
      <c r="U109" s="370"/>
      <c r="V109" s="370"/>
      <c r="W109" s="370"/>
      <c r="X109" s="370"/>
      <c r="Y109" s="370"/>
      <c r="Z109" s="370"/>
      <c r="AA109" s="370"/>
      <c r="AB109" s="376"/>
    </row>
    <row r="110" spans="1:29" x14ac:dyDescent="0.25">
      <c r="B110" s="690" t="s">
        <v>619</v>
      </c>
      <c r="C110" s="132" t="s">
        <v>390</v>
      </c>
      <c r="D110" s="496">
        <f xml:space="preserve"> (1.6105 + 0.5615 * E110 + 1.3511 * F110 + 0.000309 * G110 - 0.00379 * H110 - 0.00266* I110) / 55.65 * 1000/1000</f>
        <v>0.11781925505813332</v>
      </c>
      <c r="E110" s="369">
        <f>E66</f>
        <v>0.13378995433789956</v>
      </c>
      <c r="F110" s="370">
        <f t="shared" ref="F110:AB110" si="23">F66</f>
        <v>4.3063124768604215</v>
      </c>
      <c r="G110" s="370">
        <f t="shared" si="23"/>
        <v>1231.9496812519662</v>
      </c>
      <c r="H110" s="370">
        <f t="shared" si="23"/>
        <v>94.359845813973891</v>
      </c>
      <c r="I110" s="370">
        <f t="shared" si="23"/>
        <v>364.7702777194076</v>
      </c>
      <c r="J110" s="370">
        <f t="shared" si="23"/>
        <v>4.4444403307417009</v>
      </c>
      <c r="K110" s="370">
        <f t="shared" si="23"/>
        <v>21.222633592496603</v>
      </c>
      <c r="L110" s="370">
        <f t="shared" si="23"/>
        <v>426.38880661483392</v>
      </c>
      <c r="M110" s="370">
        <f t="shared" si="23"/>
        <v>18.561422572483202</v>
      </c>
      <c r="N110" s="370">
        <f t="shared" si="23"/>
        <v>5.0051768777024205E-2</v>
      </c>
      <c r="O110" s="370">
        <f t="shared" si="23"/>
        <v>0</v>
      </c>
      <c r="P110" s="370">
        <f t="shared" si="23"/>
        <v>0.10136857555017968</v>
      </c>
      <c r="Q110" s="370">
        <f t="shared" si="23"/>
        <v>2.0151892602691031</v>
      </c>
      <c r="R110" s="370">
        <f t="shared" si="23"/>
        <v>0</v>
      </c>
      <c r="S110" s="370">
        <f t="shared" si="23"/>
        <v>0</v>
      </c>
      <c r="T110" s="370">
        <f t="shared" si="23"/>
        <v>3.7394153653121829</v>
      </c>
      <c r="U110" s="370">
        <f t="shared" si="23"/>
        <v>0</v>
      </c>
      <c r="V110" s="370">
        <f t="shared" si="23"/>
        <v>10.348143080313287</v>
      </c>
      <c r="W110" s="370">
        <f t="shared" si="23"/>
        <v>0</v>
      </c>
      <c r="X110" s="370">
        <f t="shared" si="23"/>
        <v>0</v>
      </c>
      <c r="Y110" s="370">
        <f t="shared" si="23"/>
        <v>0</v>
      </c>
      <c r="Z110" s="370">
        <f t="shared" si="23"/>
        <v>0.40705685687590698</v>
      </c>
      <c r="AA110" s="370">
        <f t="shared" si="23"/>
        <v>0</v>
      </c>
      <c r="AB110" s="376">
        <f t="shared" si="23"/>
        <v>0</v>
      </c>
    </row>
    <row r="111" spans="1:29" x14ac:dyDescent="0.25">
      <c r="B111" s="690" t="s">
        <v>620</v>
      </c>
      <c r="C111" s="132" t="s">
        <v>390</v>
      </c>
      <c r="D111" s="496">
        <f xml:space="preserve"> (1.6105 + 0.5615 * E111 + 1.3511 * F111 + 0.000309 * G111 - 0.00379 * H111 - 0.00266* I111) / 55.65 * 1000/1000</f>
        <v>0.12786427381034768</v>
      </c>
      <c r="E111" s="369">
        <f>E68</f>
        <v>2.3812179134732426E-2</v>
      </c>
      <c r="F111" s="370">
        <f t="shared" ref="F111:AB111" si="24">F68</f>
        <v>4.7622486636663144</v>
      </c>
      <c r="G111" s="370">
        <f t="shared" si="24"/>
        <v>1401.7217503894465</v>
      </c>
      <c r="H111" s="370">
        <f t="shared" si="24"/>
        <v>89.590606691236516</v>
      </c>
      <c r="I111" s="370">
        <f t="shared" si="24"/>
        <v>389.50432031143356</v>
      </c>
      <c r="J111" s="370">
        <f t="shared" si="24"/>
        <v>4.7831745180574421</v>
      </c>
      <c r="K111" s="370">
        <f t="shared" si="24"/>
        <v>18.682594132757647</v>
      </c>
      <c r="L111" s="370">
        <f t="shared" si="24"/>
        <v>450.4349613379834</v>
      </c>
      <c r="M111" s="370">
        <f t="shared" si="24"/>
        <v>18.504392388362326</v>
      </c>
      <c r="N111" s="370">
        <f t="shared" si="24"/>
        <v>4.0546906558461548E-3</v>
      </c>
      <c r="O111" s="370">
        <f t="shared" si="24"/>
        <v>0</v>
      </c>
      <c r="P111" s="370">
        <f t="shared" si="24"/>
        <v>2.0661784374288131E-2</v>
      </c>
      <c r="Q111" s="370">
        <f t="shared" si="24"/>
        <v>2.2176323843987618</v>
      </c>
      <c r="R111" s="370">
        <f t="shared" si="24"/>
        <v>0</v>
      </c>
      <c r="S111" s="370">
        <f t="shared" si="24"/>
        <v>0</v>
      </c>
      <c r="T111" s="370">
        <f t="shared" si="24"/>
        <v>4.1150718576811229</v>
      </c>
      <c r="U111" s="370">
        <f t="shared" si="24"/>
        <v>0</v>
      </c>
      <c r="V111" s="370">
        <f t="shared" si="24"/>
        <v>10.20736186432039</v>
      </c>
      <c r="W111" s="370">
        <f t="shared" si="24"/>
        <v>0</v>
      </c>
      <c r="X111" s="370">
        <f t="shared" si="24"/>
        <v>0</v>
      </c>
      <c r="Y111" s="370">
        <f t="shared" si="24"/>
        <v>0</v>
      </c>
      <c r="Z111" s="370">
        <f t="shared" si="24"/>
        <v>0.71977021270506902</v>
      </c>
      <c r="AA111" s="370">
        <f t="shared" si="24"/>
        <v>0</v>
      </c>
      <c r="AB111" s="376">
        <f t="shared" si="24"/>
        <v>0</v>
      </c>
    </row>
    <row r="112" spans="1:29" x14ac:dyDescent="0.25">
      <c r="B112" s="690" t="s">
        <v>625</v>
      </c>
      <c r="C112" s="132" t="s">
        <v>390</v>
      </c>
      <c r="D112" s="496">
        <f xml:space="preserve"> (1.6105 + 0.5615 * E112 + 1.3511 * F112 + 0.000309 * G112 - 0.00379 * H112 - 0.00266* I112) / 55.65 * 1000/1000</f>
        <v>0.12814227934110398</v>
      </c>
      <c r="E112" s="369">
        <f>E74</f>
        <v>4.5757229832572299E-2</v>
      </c>
      <c r="F112" s="370">
        <f t="shared" ref="F112:AB112" si="25">F74</f>
        <v>4.7932895223991112</v>
      </c>
      <c r="G112" s="370">
        <f t="shared" si="25"/>
        <v>1391.2466227853758</v>
      </c>
      <c r="H112" s="370">
        <f t="shared" si="25"/>
        <v>94.593071358914472</v>
      </c>
      <c r="I112" s="370">
        <f t="shared" si="25"/>
        <v>395.7427740309729</v>
      </c>
      <c r="J112" s="370">
        <f t="shared" si="25"/>
        <v>4.8376388374676047</v>
      </c>
      <c r="K112" s="370">
        <f t="shared" si="25"/>
        <v>19.524132008721054</v>
      </c>
      <c r="L112" s="370">
        <f t="shared" si="25"/>
        <v>442.20863671891078</v>
      </c>
      <c r="M112" s="370">
        <f t="shared" si="25"/>
        <v>18.567482618457174</v>
      </c>
      <c r="N112" s="370">
        <f t="shared" si="25"/>
        <v>1.6549406628427729E-2</v>
      </c>
      <c r="O112" s="370">
        <f t="shared" si="25"/>
        <v>0</v>
      </c>
      <c r="P112" s="370">
        <f t="shared" si="25"/>
        <v>0.64603808390683382</v>
      </c>
      <c r="Q112" s="370">
        <f t="shared" si="25"/>
        <v>1.5077330408531333</v>
      </c>
      <c r="R112" s="370">
        <f t="shared" si="25"/>
        <v>0</v>
      </c>
      <c r="S112" s="370">
        <f t="shared" si="25"/>
        <v>0</v>
      </c>
      <c r="T112" s="370">
        <f t="shared" si="25"/>
        <v>3.4911511905099313</v>
      </c>
      <c r="U112" s="370">
        <f t="shared" si="25"/>
        <v>0</v>
      </c>
      <c r="V112" s="370">
        <f t="shared" si="25"/>
        <v>10.528718856260257</v>
      </c>
      <c r="W112" s="370">
        <f t="shared" si="25"/>
        <v>0</v>
      </c>
      <c r="X112" s="370">
        <f t="shared" si="25"/>
        <v>0</v>
      </c>
      <c r="Y112" s="370">
        <f t="shared" si="25"/>
        <v>0</v>
      </c>
      <c r="Z112" s="370">
        <f t="shared" si="25"/>
        <v>0.63274483736933418</v>
      </c>
      <c r="AA112" s="370">
        <f t="shared" si="25"/>
        <v>0</v>
      </c>
      <c r="AB112" s="376">
        <f t="shared" si="25"/>
        <v>0</v>
      </c>
    </row>
    <row r="113" spans="2:29" x14ac:dyDescent="0.25">
      <c r="B113" s="690" t="s">
        <v>618</v>
      </c>
      <c r="C113" s="315" t="s">
        <v>387</v>
      </c>
      <c r="D113" s="497">
        <f xml:space="preserve"> (1.23 * J113 - 0.145 * K113 + 0.012 * L113) / 55.65 * 1000/1000</f>
        <v>0.41590479115696599</v>
      </c>
      <c r="E113" s="369">
        <f>E64</f>
        <v>7.6517634640645529</v>
      </c>
      <c r="F113" s="370">
        <f t="shared" ref="F113:I113" si="26">F64</f>
        <v>11.348140364045786</v>
      </c>
      <c r="G113" s="370">
        <f t="shared" si="26"/>
        <v>4101.7170073434363</v>
      </c>
      <c r="H113" s="370">
        <f t="shared" si="26"/>
        <v>546.48334431689364</v>
      </c>
      <c r="I113" s="370">
        <f t="shared" si="26"/>
        <v>1051.0488174997815</v>
      </c>
      <c r="J113" s="370">
        <f>J64</f>
        <v>18.967950365922313</v>
      </c>
      <c r="K113" s="370">
        <f>K64</f>
        <v>28.808585100394069</v>
      </c>
      <c r="L113" s="370">
        <f t="shared" ref="L113:AB113" si="27">L64</f>
        <v>332.64729311315438</v>
      </c>
      <c r="M113" s="370">
        <f t="shared" si="27"/>
        <v>19.209803442705262</v>
      </c>
      <c r="N113" s="370">
        <f t="shared" si="27"/>
        <v>4.6568907322658104</v>
      </c>
      <c r="O113" s="370">
        <f t="shared" si="27"/>
        <v>0.95437425438228418</v>
      </c>
      <c r="P113" s="370">
        <f t="shared" si="27"/>
        <v>3.1938145444476218</v>
      </c>
      <c r="Q113" s="370">
        <f t="shared" si="27"/>
        <v>17.950089280785445</v>
      </c>
      <c r="R113" s="370">
        <f t="shared" si="27"/>
        <v>0</v>
      </c>
      <c r="S113" s="370">
        <f t="shared" si="27"/>
        <v>8.1474753494731615</v>
      </c>
      <c r="T113" s="370">
        <f t="shared" si="27"/>
        <v>0</v>
      </c>
      <c r="U113" s="370">
        <f t="shared" si="27"/>
        <v>0</v>
      </c>
      <c r="V113" s="370">
        <f t="shared" si="27"/>
        <v>11.78181019024038</v>
      </c>
      <c r="W113" s="370">
        <f t="shared" si="27"/>
        <v>0</v>
      </c>
      <c r="X113" s="370">
        <f t="shared" si="27"/>
        <v>0</v>
      </c>
      <c r="Y113" s="370">
        <f t="shared" si="27"/>
        <v>0</v>
      </c>
      <c r="Z113" s="370">
        <f t="shared" si="27"/>
        <v>0.15498784973600996</v>
      </c>
      <c r="AA113" s="370">
        <f t="shared" si="27"/>
        <v>2.0547945205479451E-2</v>
      </c>
      <c r="AB113" s="376">
        <f t="shared" si="27"/>
        <v>4.1095890410958902E-2</v>
      </c>
    </row>
    <row r="114" spans="2:29" x14ac:dyDescent="0.25">
      <c r="B114" s="690" t="s">
        <v>626</v>
      </c>
      <c r="C114" s="315"/>
      <c r="D114" s="497"/>
      <c r="E114" s="369"/>
      <c r="F114" s="370"/>
      <c r="G114" s="370"/>
      <c r="H114" s="370"/>
      <c r="I114" s="370"/>
      <c r="J114" s="370"/>
      <c r="K114" s="370"/>
      <c r="L114" s="370"/>
      <c r="M114" s="370"/>
      <c r="N114" s="370">
        <f>N78</f>
        <v>0.10588235294117648</v>
      </c>
      <c r="O114" s="370">
        <f t="shared" ref="O114:AB114" si="28">O78</f>
        <v>0.10123734533183353</v>
      </c>
      <c r="P114" s="370">
        <f t="shared" si="28"/>
        <v>0.10169491525423729</v>
      </c>
      <c r="Q114" s="370">
        <f t="shared" si="28"/>
        <v>0</v>
      </c>
      <c r="R114" s="370">
        <f t="shared" si="28"/>
        <v>0</v>
      </c>
      <c r="S114" s="370">
        <f t="shared" si="28"/>
        <v>0</v>
      </c>
      <c r="T114" s="370">
        <f t="shared" si="28"/>
        <v>0</v>
      </c>
      <c r="U114" s="370">
        <f t="shared" si="28"/>
        <v>0</v>
      </c>
      <c r="V114" s="370">
        <f t="shared" si="28"/>
        <v>0</v>
      </c>
      <c r="W114" s="370">
        <f t="shared" si="28"/>
        <v>0</v>
      </c>
      <c r="X114" s="370">
        <f t="shared" si="28"/>
        <v>0</v>
      </c>
      <c r="Y114" s="370">
        <f t="shared" si="28"/>
        <v>0.52631578947368418</v>
      </c>
      <c r="Z114" s="370">
        <f t="shared" si="28"/>
        <v>0</v>
      </c>
      <c r="AA114" s="370">
        <f t="shared" si="28"/>
        <v>0</v>
      </c>
      <c r="AB114" s="370">
        <f t="shared" si="28"/>
        <v>0</v>
      </c>
    </row>
    <row r="115" spans="2:29" x14ac:dyDescent="0.25">
      <c r="B115" s="690" t="s">
        <v>633</v>
      </c>
      <c r="C115" s="132" t="s">
        <v>390</v>
      </c>
      <c r="D115" s="496">
        <f xml:space="preserve"> (1.6105 + 0.5615 * E115 + 1.3511 * F115 + 0.000309 * G115 - 0.00379 * H115 - 0.00266* I115) / 55.65 * 1000/1000</f>
        <v>3.6695385500034566E-2</v>
      </c>
      <c r="E115" s="369">
        <f>E76</f>
        <v>0.8</v>
      </c>
      <c r="F115" s="370">
        <f t="shared" ref="F115:AB115" si="29">F76</f>
        <v>0.4</v>
      </c>
      <c r="G115" s="370">
        <f t="shared" si="29"/>
        <v>121.92</v>
      </c>
      <c r="H115" s="370">
        <f t="shared" si="29"/>
        <v>94.33846153846153</v>
      </c>
      <c r="I115" s="370">
        <f t="shared" si="29"/>
        <v>89.538461538461533</v>
      </c>
      <c r="J115" s="370">
        <f t="shared" si="29"/>
        <v>1.2</v>
      </c>
      <c r="K115" s="370">
        <f t="shared" si="29"/>
        <v>78.615384615384613</v>
      </c>
      <c r="L115" s="370">
        <f t="shared" si="29"/>
        <v>156.30769230769232</v>
      </c>
      <c r="M115" s="370">
        <f t="shared" si="29"/>
        <v>0</v>
      </c>
      <c r="N115" s="370">
        <f t="shared" si="29"/>
        <v>0.35294117647058826</v>
      </c>
      <c r="O115" s="370">
        <f t="shared" si="29"/>
        <v>0.1687289088863892</v>
      </c>
      <c r="P115" s="370">
        <f t="shared" si="29"/>
        <v>0.16949152542372881</v>
      </c>
      <c r="Q115" s="370">
        <f t="shared" si="29"/>
        <v>0</v>
      </c>
      <c r="R115" s="370">
        <f t="shared" si="29"/>
        <v>0</v>
      </c>
      <c r="S115" s="370">
        <f t="shared" si="29"/>
        <v>0</v>
      </c>
      <c r="T115" s="370">
        <f t="shared" si="29"/>
        <v>0</v>
      </c>
      <c r="U115" s="370">
        <f t="shared" si="29"/>
        <v>0.26631158455392812</v>
      </c>
      <c r="V115" s="370">
        <f t="shared" si="29"/>
        <v>0</v>
      </c>
      <c r="W115" s="370">
        <f t="shared" si="29"/>
        <v>0</v>
      </c>
      <c r="X115" s="370">
        <f t="shared" si="29"/>
        <v>0</v>
      </c>
      <c r="Y115" s="370">
        <f t="shared" si="29"/>
        <v>0.4210526315789474</v>
      </c>
      <c r="Z115" s="370">
        <f t="shared" si="29"/>
        <v>0</v>
      </c>
      <c r="AA115" s="370">
        <f t="shared" si="29"/>
        <v>0</v>
      </c>
      <c r="AB115" s="376">
        <f t="shared" si="29"/>
        <v>0</v>
      </c>
    </row>
    <row r="116" spans="2:29" x14ac:dyDescent="0.25">
      <c r="B116" s="690" t="s">
        <v>627</v>
      </c>
      <c r="C116" s="132"/>
      <c r="D116" s="496"/>
      <c r="E116" s="369"/>
      <c r="F116" s="370"/>
      <c r="G116" s="370"/>
      <c r="H116" s="370"/>
      <c r="I116" s="370"/>
      <c r="J116" s="370"/>
      <c r="K116" s="370"/>
      <c r="L116" s="370"/>
      <c r="M116" s="370"/>
      <c r="N116" s="370"/>
      <c r="O116" s="370"/>
      <c r="P116" s="370"/>
      <c r="Q116" s="370"/>
      <c r="R116" s="370"/>
      <c r="S116" s="370"/>
      <c r="T116" s="370"/>
      <c r="U116" s="370"/>
      <c r="V116" s="370"/>
      <c r="W116" s="370"/>
      <c r="X116" s="370"/>
      <c r="Y116" s="370"/>
      <c r="Z116" s="370"/>
      <c r="AA116" s="370"/>
      <c r="AB116" s="376"/>
    </row>
    <row r="117" spans="2:29" x14ac:dyDescent="0.25">
      <c r="B117" s="690" t="s">
        <v>623</v>
      </c>
      <c r="C117" s="132" t="s">
        <v>390</v>
      </c>
      <c r="D117" s="496">
        <f xml:space="preserve"> (1.6105 + 0.5615 * E117 + 1.3511 * F117 + 0.000309 * G117 - 0.00379 * H117 - 0.00266* I117) / 55.65 * 1000/1000</f>
        <v>8.0557888357127974E-2</v>
      </c>
      <c r="E117" s="369">
        <f>E70</f>
        <v>3.0001743163885641</v>
      </c>
      <c r="F117" s="370">
        <f t="shared" ref="F117:AB117" si="30">F70</f>
        <v>1.2579469895110893</v>
      </c>
      <c r="G117" s="370">
        <f t="shared" si="30"/>
        <v>695.04501781818101</v>
      </c>
      <c r="H117" s="370">
        <f t="shared" si="30"/>
        <v>88.119205183986523</v>
      </c>
      <c r="I117" s="370">
        <f t="shared" si="30"/>
        <v>147.54161352065711</v>
      </c>
      <c r="J117" s="370">
        <f t="shared" si="30"/>
        <v>4.2772001096503445</v>
      </c>
      <c r="K117" s="370">
        <f t="shared" si="30"/>
        <v>20.60207680841712</v>
      </c>
      <c r="L117" s="370">
        <f t="shared" si="30"/>
        <v>250.00000000000003</v>
      </c>
      <c r="M117" s="370">
        <f t="shared" si="30"/>
        <v>19.193729214592846</v>
      </c>
      <c r="N117" s="370">
        <f t="shared" si="30"/>
        <v>2.6531533220675487</v>
      </c>
      <c r="O117" s="370">
        <f t="shared" si="30"/>
        <v>0.85086860984271262</v>
      </c>
      <c r="P117" s="370">
        <f t="shared" si="30"/>
        <v>0</v>
      </c>
      <c r="Q117" s="370">
        <f t="shared" si="30"/>
        <v>3.6399753987569996</v>
      </c>
      <c r="R117" s="370">
        <f t="shared" si="30"/>
        <v>0</v>
      </c>
      <c r="S117" s="370">
        <f t="shared" si="30"/>
        <v>0</v>
      </c>
      <c r="T117" s="370">
        <f t="shared" si="30"/>
        <v>0</v>
      </c>
      <c r="U117" s="370">
        <f t="shared" si="30"/>
        <v>0</v>
      </c>
      <c r="V117" s="370">
        <f t="shared" si="30"/>
        <v>0</v>
      </c>
      <c r="W117" s="370">
        <f t="shared" si="30"/>
        <v>0</v>
      </c>
      <c r="X117" s="370">
        <f t="shared" si="30"/>
        <v>0</v>
      </c>
      <c r="Y117" s="370">
        <f t="shared" si="30"/>
        <v>0</v>
      </c>
      <c r="Z117" s="370">
        <f t="shared" si="30"/>
        <v>0</v>
      </c>
      <c r="AA117" s="370">
        <f t="shared" si="30"/>
        <v>0</v>
      </c>
      <c r="AB117" s="376">
        <f t="shared" si="30"/>
        <v>0</v>
      </c>
    </row>
    <row r="118" spans="2:29" x14ac:dyDescent="0.25">
      <c r="B118" s="691" t="s">
        <v>624</v>
      </c>
      <c r="C118" s="132" t="s">
        <v>390</v>
      </c>
      <c r="D118" s="496">
        <f xml:space="preserve"> (1.6105 + 0.5615 * E118 + 1.3511 * F118 + 0.000309 * G118 - 0.00379 * H118 - 0.00266* I118) / 55.65 * 1000/1000</f>
        <v>0.101695101710014</v>
      </c>
      <c r="E118" s="519">
        <f>E72</f>
        <v>2.1924094792852142</v>
      </c>
      <c r="F118" s="520">
        <f t="shared" ref="F118:AB118" si="31">F72</f>
        <v>2.4369656777062652</v>
      </c>
      <c r="G118" s="520">
        <f t="shared" si="31"/>
        <v>903.22349658714825</v>
      </c>
      <c r="H118" s="520">
        <f t="shared" si="31"/>
        <v>86.907398402034573</v>
      </c>
      <c r="I118" s="520">
        <f t="shared" si="31"/>
        <v>159.58904515301543</v>
      </c>
      <c r="J118" s="520">
        <f t="shared" si="31"/>
        <v>4.6319153671135807</v>
      </c>
      <c r="K118" s="520">
        <f t="shared" si="31"/>
        <v>18.762734530745906</v>
      </c>
      <c r="L118" s="520">
        <f t="shared" si="31"/>
        <v>300</v>
      </c>
      <c r="M118" s="520">
        <f t="shared" si="31"/>
        <v>19.028629024622642</v>
      </c>
      <c r="N118" s="520">
        <f t="shared" si="31"/>
        <v>1.9378729300782209</v>
      </c>
      <c r="O118" s="520">
        <f t="shared" si="31"/>
        <v>0.59884412005580945</v>
      </c>
      <c r="P118" s="520">
        <f t="shared" si="31"/>
        <v>1.7219291472620732E-2</v>
      </c>
      <c r="Q118" s="520">
        <f t="shared" si="31"/>
        <v>6.6079940358553539</v>
      </c>
      <c r="R118" s="520">
        <f t="shared" si="31"/>
        <v>0</v>
      </c>
      <c r="S118" s="520">
        <f t="shared" si="31"/>
        <v>0</v>
      </c>
      <c r="T118" s="520">
        <f t="shared" si="31"/>
        <v>0</v>
      </c>
      <c r="U118" s="520">
        <f t="shared" si="31"/>
        <v>0</v>
      </c>
      <c r="V118" s="520">
        <f t="shared" si="31"/>
        <v>0</v>
      </c>
      <c r="W118" s="520">
        <f t="shared" si="31"/>
        <v>0</v>
      </c>
      <c r="X118" s="520">
        <f t="shared" si="31"/>
        <v>0</v>
      </c>
      <c r="Y118" s="520">
        <f t="shared" si="31"/>
        <v>0</v>
      </c>
      <c r="Z118" s="520">
        <f t="shared" si="31"/>
        <v>0.15728540713185804</v>
      </c>
      <c r="AA118" s="520">
        <f t="shared" si="31"/>
        <v>0</v>
      </c>
      <c r="AB118" s="521">
        <f t="shared" si="31"/>
        <v>0</v>
      </c>
    </row>
    <row r="119" spans="2:29" x14ac:dyDescent="0.25">
      <c r="B119" s="5"/>
      <c r="C119" s="12" t="s">
        <v>687</v>
      </c>
      <c r="E119" s="5"/>
      <c r="F119" s="5"/>
      <c r="G119" s="5"/>
      <c r="H119" s="5"/>
      <c r="I119" s="5"/>
      <c r="J119" s="5"/>
      <c r="K119" s="5"/>
      <c r="L119" s="5"/>
      <c r="M119" s="72"/>
      <c r="N119" s="87"/>
      <c r="O119" s="87"/>
      <c r="P119" s="87"/>
      <c r="Q119" s="87"/>
      <c r="R119" s="87"/>
      <c r="S119" s="87"/>
      <c r="T119" s="87"/>
      <c r="U119" s="87"/>
      <c r="V119" s="87"/>
      <c r="W119" s="87"/>
      <c r="X119" s="87"/>
      <c r="Y119" s="87"/>
      <c r="Z119" s="87"/>
      <c r="AA119" s="87"/>
      <c r="AB119" s="5"/>
    </row>
    <row r="120" spans="2:29" x14ac:dyDescent="0.25">
      <c r="B120" s="580" t="str">
        <f>B113</f>
        <v>Malkekøer, jersey Køer</v>
      </c>
      <c r="C120" s="547" t="s">
        <v>698</v>
      </c>
      <c r="D120" s="548">
        <f>J113 * (M113) / 55.65 * (D123*D64/365+D122*D65/365)</f>
        <v>0.38513885680909127</v>
      </c>
      <c r="E120" s="67"/>
      <c r="F120" s="370"/>
      <c r="G120" s="5"/>
      <c r="H120" s="5"/>
      <c r="I120" s="5"/>
      <c r="J120" s="5"/>
      <c r="K120" s="5"/>
      <c r="L120" s="5"/>
      <c r="M120" s="72"/>
      <c r="N120" s="87"/>
      <c r="O120" s="87"/>
      <c r="P120" s="87"/>
      <c r="Q120" s="87"/>
      <c r="R120" s="87"/>
      <c r="S120" s="87"/>
      <c r="T120" s="87"/>
      <c r="U120" s="87"/>
      <c r="V120" s="87"/>
      <c r="W120" s="87"/>
      <c r="X120" s="87"/>
      <c r="Y120" s="87"/>
      <c r="Z120" s="87"/>
      <c r="AA120" s="87"/>
      <c r="AB120" s="5"/>
    </row>
    <row r="121" spans="2:29" x14ac:dyDescent="0.25">
      <c r="B121" s="692"/>
      <c r="C121" s="549"/>
      <c r="D121" s="522"/>
      <c r="E121" s="67"/>
      <c r="F121" s="67"/>
      <c r="G121" s="5"/>
      <c r="H121" s="5"/>
      <c r="I121" s="5"/>
      <c r="J121" s="5"/>
      <c r="K121" s="5"/>
      <c r="L121" s="5"/>
      <c r="M121" s="72"/>
      <c r="N121" s="87"/>
      <c r="O121" s="87"/>
      <c r="P121" s="87"/>
      <c r="Q121" s="87"/>
      <c r="R121" s="87"/>
      <c r="S121" s="87"/>
      <c r="T121" s="87"/>
      <c r="U121" s="87"/>
      <c r="V121" s="87"/>
      <c r="W121" s="87"/>
      <c r="X121" s="87"/>
      <c r="Y121" s="87"/>
      <c r="Z121" s="87"/>
      <c r="AA121" s="87"/>
      <c r="AB121" s="5"/>
    </row>
    <row r="122" spans="2:29" x14ac:dyDescent="0.25">
      <c r="B122" s="523" t="s">
        <v>690</v>
      </c>
      <c r="C122" s="675" t="s">
        <v>697</v>
      </c>
      <c r="D122" s="581">
        <f>INDEX('CH4_enterisk, formulas'!$C$18:$D$23,MATCH('EntericFer &amp; FeedCultiv'!C122,'CH4_enterisk, formulas'!$C$18:$C$23,0),2)</f>
        <v>5.8000000000000003E-2</v>
      </c>
      <c r="F122" s="551"/>
      <c r="G122" s="5"/>
      <c r="H122" s="5"/>
      <c r="I122" s="5"/>
      <c r="J122">
        <v>365</v>
      </c>
      <c r="K122" t="s">
        <v>166</v>
      </c>
      <c r="L122" s="5"/>
      <c r="M122" s="72"/>
      <c r="N122" s="87"/>
      <c r="O122" s="87"/>
      <c r="P122" s="87"/>
      <c r="Q122" s="87"/>
      <c r="R122" s="87"/>
      <c r="S122" s="87"/>
      <c r="T122" s="87"/>
      <c r="U122" s="87"/>
      <c r="V122" s="87"/>
      <c r="W122" s="87"/>
      <c r="X122" s="87"/>
      <c r="Y122" s="87"/>
      <c r="Z122" s="87"/>
      <c r="AA122" s="87"/>
      <c r="AB122" s="5"/>
    </row>
    <row r="123" spans="2:29" x14ac:dyDescent="0.25">
      <c r="B123" s="370" t="s">
        <v>500</v>
      </c>
      <c r="C123" s="675" t="s">
        <v>694</v>
      </c>
      <c r="D123" s="581">
        <f>INDEX('CH4_enterisk, formulas'!$C$18:$D$23,MATCH('EntericFer &amp; FeedCultiv'!C123,'CH4_enterisk, formulas'!$C$18:$C$23,0),2)</f>
        <v>0.06</v>
      </c>
      <c r="F123" s="552"/>
      <c r="G123" s="5"/>
      <c r="H123" s="5"/>
      <c r="I123" s="5"/>
      <c r="J123" s="39">
        <f>J122/12</f>
        <v>30.416666666666668</v>
      </c>
      <c r="K123" t="s">
        <v>546</v>
      </c>
      <c r="L123" s="5"/>
      <c r="M123" s="72"/>
      <c r="N123" s="87"/>
      <c r="O123" s="87"/>
      <c r="P123" s="87"/>
      <c r="Q123" s="87"/>
      <c r="R123" s="87"/>
      <c r="S123" s="87"/>
      <c r="T123" s="87"/>
      <c r="U123" s="87"/>
      <c r="V123" s="87"/>
      <c r="W123" s="87"/>
      <c r="X123" s="87"/>
      <c r="Y123" s="87"/>
      <c r="Z123" s="87"/>
      <c r="AA123" s="87"/>
      <c r="AB123" s="5"/>
    </row>
    <row r="124" spans="2:29" x14ac:dyDescent="0.25">
      <c r="E124" s="5"/>
      <c r="F124" s="5"/>
      <c r="G124" s="5"/>
      <c r="H124" s="5"/>
      <c r="I124" s="5"/>
      <c r="J124" s="5"/>
      <c r="K124" s="5"/>
      <c r="L124" s="5"/>
      <c r="M124" s="72"/>
      <c r="N124" s="87"/>
      <c r="O124" s="87"/>
      <c r="P124" s="87"/>
      <c r="Q124" s="87"/>
      <c r="R124" s="87"/>
      <c r="S124" s="87"/>
      <c r="T124" s="87"/>
      <c r="U124" s="87"/>
      <c r="V124" s="87"/>
      <c r="W124" s="87"/>
      <c r="X124" s="87"/>
      <c r="Y124" s="87"/>
      <c r="Z124" s="87"/>
      <c r="AA124" s="87"/>
      <c r="AB124" s="5"/>
    </row>
    <row r="125" spans="2:29" x14ac:dyDescent="0.25">
      <c r="H125" t="s">
        <v>631</v>
      </c>
    </row>
    <row r="126" spans="2:29" x14ac:dyDescent="0.25">
      <c r="H126" t="s">
        <v>547</v>
      </c>
      <c r="I126" t="s">
        <v>548</v>
      </c>
      <c r="J126" t="s">
        <v>549</v>
      </c>
      <c r="K126" s="278"/>
      <c r="N126" s="381" t="s">
        <v>554</v>
      </c>
      <c r="O126" s="381" t="s">
        <v>554</v>
      </c>
      <c r="P126" s="381" t="s">
        <v>554</v>
      </c>
      <c r="Q126" s="381" t="s">
        <v>554</v>
      </c>
      <c r="R126" s="381" t="s">
        <v>554</v>
      </c>
      <c r="S126" s="381" t="s">
        <v>554</v>
      </c>
      <c r="T126" s="381" t="s">
        <v>554</v>
      </c>
      <c r="U126" s="381" t="s">
        <v>554</v>
      </c>
      <c r="V126" s="381" t="s">
        <v>554</v>
      </c>
      <c r="W126" s="381" t="s">
        <v>554</v>
      </c>
      <c r="X126" s="381" t="s">
        <v>554</v>
      </c>
      <c r="Y126" s="381" t="s">
        <v>554</v>
      </c>
      <c r="Z126" s="381" t="s">
        <v>554</v>
      </c>
      <c r="AA126" s="381" t="s">
        <v>554</v>
      </c>
      <c r="AB126" s="381" t="s">
        <v>554</v>
      </c>
      <c r="AC126" s="322"/>
    </row>
    <row r="127" spans="2:29" x14ac:dyDescent="0.25">
      <c r="H127" t="s">
        <v>556</v>
      </c>
      <c r="I127" t="s">
        <v>556</v>
      </c>
      <c r="J127" t="s">
        <v>166</v>
      </c>
      <c r="K127" s="278"/>
      <c r="AC127" s="322"/>
    </row>
    <row r="128" spans="2:29" x14ac:dyDescent="0.25">
      <c r="B128" s="7"/>
      <c r="G128" s="420" t="str">
        <f>B88</f>
        <v>Malkekøer, tung race Kalve 0-1 mdr.</v>
      </c>
      <c r="H128" s="331">
        <v>0</v>
      </c>
      <c r="I128" s="693">
        <v>1</v>
      </c>
      <c r="J128" s="535">
        <f>(I128-H128)*$J$123</f>
        <v>30.416666666666668</v>
      </c>
      <c r="L128" s="420"/>
      <c r="M128" s="67" t="str">
        <f t="shared" ref="M128:M139" si="32">B88</f>
        <v>Malkekøer, tung race Kalve 0-1 mdr.</v>
      </c>
      <c r="N128" s="525" t="e">
        <f>IF(N$84*N88=0,"",N$84*N88)</f>
        <v>#VALUE!</v>
      </c>
      <c r="O128" s="526" t="e">
        <f t="shared" ref="O128:AB128" si="33">IF(O$84*O88=0,"",O$84*O88)</f>
        <v>#VALUE!</v>
      </c>
      <c r="P128" s="526" t="e">
        <f t="shared" si="33"/>
        <v>#VALUE!</v>
      </c>
      <c r="Q128" s="526" t="e">
        <f t="shared" si="33"/>
        <v>#VALUE!</v>
      </c>
      <c r="R128" s="526" t="e">
        <f t="shared" si="33"/>
        <v>#VALUE!</v>
      </c>
      <c r="S128" s="526" t="e">
        <f t="shared" si="33"/>
        <v>#VALUE!</v>
      </c>
      <c r="T128" s="526" t="e">
        <f t="shared" si="33"/>
        <v>#VALUE!</v>
      </c>
      <c r="U128" s="526" t="e">
        <f t="shared" si="33"/>
        <v>#VALUE!</v>
      </c>
      <c r="V128" s="526" t="e">
        <f t="shared" si="33"/>
        <v>#VALUE!</v>
      </c>
      <c r="W128" s="526" t="e">
        <f t="shared" si="33"/>
        <v>#VALUE!</v>
      </c>
      <c r="X128" s="526" t="e">
        <f t="shared" si="33"/>
        <v>#VALUE!</v>
      </c>
      <c r="Y128" s="526" t="e">
        <f t="shared" si="33"/>
        <v>#VALUE!</v>
      </c>
      <c r="Z128" s="526" t="e">
        <f t="shared" si="33"/>
        <v>#VALUE!</v>
      </c>
      <c r="AA128" s="526" t="e">
        <f t="shared" si="33"/>
        <v>#VALUE!</v>
      </c>
      <c r="AB128" s="527" t="e">
        <f t="shared" si="33"/>
        <v>#VALUE!</v>
      </c>
      <c r="AC128" s="322"/>
    </row>
    <row r="129" spans="2:29" x14ac:dyDescent="0.25">
      <c r="B129" s="7"/>
      <c r="G129" s="420" t="str">
        <f t="shared" ref="G129:G158" si="34">B89</f>
        <v>Kalve 0-3 mdr.</v>
      </c>
      <c r="H129" s="499">
        <v>0</v>
      </c>
      <c r="I129" s="694">
        <v>3</v>
      </c>
      <c r="J129" s="450">
        <f>(I129-H129)*$J$123</f>
        <v>91.25</v>
      </c>
      <c r="K129" s="417"/>
      <c r="L129" s="420"/>
      <c r="M129" s="67" t="str">
        <f t="shared" si="32"/>
        <v>Kalve 0-3 mdr.</v>
      </c>
      <c r="N129" s="426" t="e">
        <f t="shared" ref="N129:AB139" si="35">IF(N$84*N89=0,"",N$84*N89)</f>
        <v>#VALUE!</v>
      </c>
      <c r="O129" s="427" t="e">
        <f t="shared" si="35"/>
        <v>#VALUE!</v>
      </c>
      <c r="P129" s="427" t="e">
        <f t="shared" si="35"/>
        <v>#VALUE!</v>
      </c>
      <c r="Q129" s="427" t="e">
        <f t="shared" si="35"/>
        <v>#VALUE!</v>
      </c>
      <c r="R129" s="427" t="e">
        <f t="shared" si="35"/>
        <v>#VALUE!</v>
      </c>
      <c r="S129" s="427" t="e">
        <f t="shared" si="35"/>
        <v>#VALUE!</v>
      </c>
      <c r="T129" s="427" t="e">
        <f t="shared" si="35"/>
        <v>#VALUE!</v>
      </c>
      <c r="U129" s="427" t="e">
        <f t="shared" si="35"/>
        <v>#VALUE!</v>
      </c>
      <c r="V129" s="427" t="e">
        <f t="shared" si="35"/>
        <v>#VALUE!</v>
      </c>
      <c r="W129" s="427" t="e">
        <f t="shared" si="35"/>
        <v>#VALUE!</v>
      </c>
      <c r="X129" s="427" t="e">
        <f t="shared" si="35"/>
        <v>#VALUE!</v>
      </c>
      <c r="Y129" s="427" t="e">
        <f t="shared" si="35"/>
        <v>#VALUE!</v>
      </c>
      <c r="Z129" s="427" t="e">
        <f t="shared" si="35"/>
        <v>#VALUE!</v>
      </c>
      <c r="AA129" s="427" t="e">
        <f t="shared" si="35"/>
        <v>#VALUE!</v>
      </c>
      <c r="AB129" s="428" t="e">
        <f t="shared" si="35"/>
        <v>#VALUE!</v>
      </c>
      <c r="AC129" s="322"/>
    </row>
    <row r="130" spans="2:29" x14ac:dyDescent="0.25">
      <c r="B130" s="7"/>
      <c r="G130" s="420" t="str">
        <f t="shared" si="34"/>
        <v>Malkekøer, tung race Kalve 0-6 mdr.</v>
      </c>
      <c r="H130" s="447"/>
      <c r="I130" s="695"/>
      <c r="J130" s="448"/>
      <c r="K130" s="419"/>
      <c r="L130" s="420"/>
      <c r="M130" s="67" t="str">
        <f t="shared" si="32"/>
        <v>Malkekøer, tung race Kalve 0-6 mdr.</v>
      </c>
      <c r="N130" s="426" t="e">
        <f t="shared" si="35"/>
        <v>#VALUE!</v>
      </c>
      <c r="O130" s="427" t="e">
        <f t="shared" si="35"/>
        <v>#VALUE!</v>
      </c>
      <c r="P130" s="427" t="e">
        <f t="shared" si="35"/>
        <v>#VALUE!</v>
      </c>
      <c r="Q130" s="427" t="e">
        <f t="shared" si="35"/>
        <v>#VALUE!</v>
      </c>
      <c r="R130" s="427" t="e">
        <f t="shared" si="35"/>
        <v>#VALUE!</v>
      </c>
      <c r="S130" s="427" t="e">
        <f t="shared" si="35"/>
        <v>#VALUE!</v>
      </c>
      <c r="T130" s="427" t="e">
        <f t="shared" si="35"/>
        <v>#VALUE!</v>
      </c>
      <c r="U130" s="427" t="e">
        <f t="shared" si="35"/>
        <v>#VALUE!</v>
      </c>
      <c r="V130" s="427" t="e">
        <f t="shared" si="35"/>
        <v>#VALUE!</v>
      </c>
      <c r="W130" s="427" t="e">
        <f t="shared" si="35"/>
        <v>#VALUE!</v>
      </c>
      <c r="X130" s="427" t="e">
        <f t="shared" si="35"/>
        <v>#VALUE!</v>
      </c>
      <c r="Y130" s="427" t="e">
        <f t="shared" si="35"/>
        <v>#VALUE!</v>
      </c>
      <c r="Z130" s="427" t="e">
        <f t="shared" si="35"/>
        <v>#VALUE!</v>
      </c>
      <c r="AA130" s="427" t="e">
        <f t="shared" si="35"/>
        <v>#VALUE!</v>
      </c>
      <c r="AB130" s="428" t="e">
        <f t="shared" si="35"/>
        <v>#VALUE!</v>
      </c>
      <c r="AC130" s="322"/>
    </row>
    <row r="131" spans="2:29" x14ac:dyDescent="0.25">
      <c r="B131" s="420"/>
      <c r="G131" s="420" t="str">
        <f t="shared" si="34"/>
        <v>Malkekøer, tung race Kvier u. 18. mdr.</v>
      </c>
      <c r="H131" s="449">
        <v>3</v>
      </c>
      <c r="I131" s="696">
        <v>14.2</v>
      </c>
      <c r="J131" s="450">
        <f>(I131-H131)*$J$123</f>
        <v>340.66666666666669</v>
      </c>
      <c r="K131" s="417"/>
      <c r="L131" s="420"/>
      <c r="M131" s="67" t="str">
        <f t="shared" si="32"/>
        <v>Malkekøer, tung race Kvier u. 18. mdr.</v>
      </c>
      <c r="N131" s="426" t="e">
        <f t="shared" si="35"/>
        <v>#VALUE!</v>
      </c>
      <c r="O131" s="427" t="e">
        <f t="shared" si="35"/>
        <v>#VALUE!</v>
      </c>
      <c r="P131" s="427" t="e">
        <f t="shared" si="35"/>
        <v>#VALUE!</v>
      </c>
      <c r="Q131" s="427" t="e">
        <f t="shared" si="35"/>
        <v>#VALUE!</v>
      </c>
      <c r="R131" s="427" t="e">
        <f t="shared" si="35"/>
        <v>#VALUE!</v>
      </c>
      <c r="S131" s="427" t="e">
        <f t="shared" si="35"/>
        <v>#VALUE!</v>
      </c>
      <c r="T131" s="427" t="e">
        <f t="shared" si="35"/>
        <v>#VALUE!</v>
      </c>
      <c r="U131" s="427" t="e">
        <f t="shared" si="35"/>
        <v>#VALUE!</v>
      </c>
      <c r="V131" s="427" t="e">
        <f t="shared" si="35"/>
        <v>#VALUE!</v>
      </c>
      <c r="W131" s="427" t="e">
        <f t="shared" si="35"/>
        <v>#VALUE!</v>
      </c>
      <c r="X131" s="427" t="e">
        <f t="shared" si="35"/>
        <v>#VALUE!</v>
      </c>
      <c r="Y131" s="427" t="e">
        <f t="shared" si="35"/>
        <v>#VALUE!</v>
      </c>
      <c r="Z131" s="427" t="e">
        <f t="shared" si="35"/>
        <v>#VALUE!</v>
      </c>
      <c r="AA131" s="427" t="e">
        <f t="shared" si="35"/>
        <v>#VALUE!</v>
      </c>
      <c r="AB131" s="428" t="e">
        <f t="shared" si="35"/>
        <v>#VALUE!</v>
      </c>
      <c r="AC131" s="322"/>
    </row>
    <row r="132" spans="2:29" x14ac:dyDescent="0.25">
      <c r="B132" s="420"/>
      <c r="G132" s="420" t="str">
        <f t="shared" si="34"/>
        <v>Malkekøer, tung race Kvier o. 18. mdr.</v>
      </c>
      <c r="H132" s="451">
        <v>3</v>
      </c>
      <c r="I132" s="694">
        <v>24.8</v>
      </c>
      <c r="J132" s="450">
        <f>(I132-H132)*$J$123</f>
        <v>663.08333333333337</v>
      </c>
      <c r="K132" s="417"/>
      <c r="L132" s="420"/>
      <c r="M132" s="67" t="str">
        <f t="shared" si="32"/>
        <v>Malkekøer, tung race Kvier o. 18. mdr.</v>
      </c>
      <c r="N132" s="426" t="e">
        <f t="shared" si="35"/>
        <v>#VALUE!</v>
      </c>
      <c r="O132" s="427" t="e">
        <f t="shared" si="35"/>
        <v>#VALUE!</v>
      </c>
      <c r="P132" s="427" t="e">
        <f t="shared" si="35"/>
        <v>#VALUE!</v>
      </c>
      <c r="Q132" s="427" t="e">
        <f t="shared" si="35"/>
        <v>#VALUE!</v>
      </c>
      <c r="R132" s="427" t="e">
        <f t="shared" si="35"/>
        <v>#VALUE!</v>
      </c>
      <c r="S132" s="427" t="e">
        <f t="shared" si="35"/>
        <v>#VALUE!</v>
      </c>
      <c r="T132" s="427" t="e">
        <f t="shared" si="35"/>
        <v>#VALUE!</v>
      </c>
      <c r="U132" s="427" t="e">
        <f t="shared" si="35"/>
        <v>#VALUE!</v>
      </c>
      <c r="V132" s="427" t="e">
        <f t="shared" si="35"/>
        <v>#VALUE!</v>
      </c>
      <c r="W132" s="427" t="e">
        <f t="shared" si="35"/>
        <v>#VALUE!</v>
      </c>
      <c r="X132" s="427" t="e">
        <f t="shared" si="35"/>
        <v>#VALUE!</v>
      </c>
      <c r="Y132" s="427" t="e">
        <f t="shared" si="35"/>
        <v>#VALUE!</v>
      </c>
      <c r="Z132" s="427" t="e">
        <f t="shared" si="35"/>
        <v>#VALUE!</v>
      </c>
      <c r="AA132" s="427" t="e">
        <f t="shared" si="35"/>
        <v>#VALUE!</v>
      </c>
      <c r="AB132" s="428" t="e">
        <f t="shared" si="35"/>
        <v>#VALUE!</v>
      </c>
      <c r="AC132" s="322"/>
    </row>
    <row r="133" spans="2:29" x14ac:dyDescent="0.25">
      <c r="B133" s="420"/>
      <c r="G133" s="420" t="str">
        <f t="shared" si="34"/>
        <v>Malkekøer, tung race Stude</v>
      </c>
      <c r="H133" s="451">
        <v>3</v>
      </c>
      <c r="I133" s="694">
        <v>24.8</v>
      </c>
      <c r="J133" s="450">
        <f>(I133-H133)*$J$123</f>
        <v>663.08333333333337</v>
      </c>
      <c r="K133" s="417"/>
      <c r="L133" s="420"/>
      <c r="M133" s="67" t="str">
        <f t="shared" si="32"/>
        <v>Malkekøer, tung race Stude</v>
      </c>
      <c r="N133" s="426" t="e">
        <f t="shared" si="35"/>
        <v>#VALUE!</v>
      </c>
      <c r="O133" s="427" t="e">
        <f t="shared" si="35"/>
        <v>#VALUE!</v>
      </c>
      <c r="P133" s="427" t="e">
        <f t="shared" si="35"/>
        <v>#VALUE!</v>
      </c>
      <c r="Q133" s="427" t="e">
        <f t="shared" si="35"/>
        <v>#VALUE!</v>
      </c>
      <c r="R133" s="427" t="e">
        <f t="shared" si="35"/>
        <v>#VALUE!</v>
      </c>
      <c r="S133" s="427" t="e">
        <f t="shared" si="35"/>
        <v>#VALUE!</v>
      </c>
      <c r="T133" s="427" t="e">
        <f t="shared" si="35"/>
        <v>#VALUE!</v>
      </c>
      <c r="U133" s="427" t="e">
        <f t="shared" si="35"/>
        <v>#VALUE!</v>
      </c>
      <c r="V133" s="427" t="e">
        <f t="shared" si="35"/>
        <v>#VALUE!</v>
      </c>
      <c r="W133" s="427" t="e">
        <f t="shared" si="35"/>
        <v>#VALUE!</v>
      </c>
      <c r="X133" s="427" t="e">
        <f t="shared" si="35"/>
        <v>#VALUE!</v>
      </c>
      <c r="Y133" s="427" t="e">
        <f t="shared" si="35"/>
        <v>#VALUE!</v>
      </c>
      <c r="Z133" s="427" t="e">
        <f t="shared" si="35"/>
        <v>#VALUE!</v>
      </c>
      <c r="AA133" s="427" t="e">
        <f t="shared" si="35"/>
        <v>#VALUE!</v>
      </c>
      <c r="AB133" s="428" t="e">
        <f t="shared" si="35"/>
        <v>#VALUE!</v>
      </c>
      <c r="AC133" s="322"/>
    </row>
    <row r="134" spans="2:29" x14ac:dyDescent="0.25">
      <c r="B134" s="420"/>
      <c r="G134" s="420" t="str">
        <f t="shared" si="34"/>
        <v>Malkekøer, tung race Køer (1year)</v>
      </c>
      <c r="H134" s="451">
        <f>I133</f>
        <v>24.8</v>
      </c>
      <c r="I134" s="694">
        <v>60.3</v>
      </c>
      <c r="J134" s="546">
        <v>365</v>
      </c>
      <c r="K134" s="416"/>
      <c r="L134" s="452"/>
      <c r="M134" s="67" t="str">
        <f t="shared" si="32"/>
        <v>Malkekøer, tung race Køer (1year)</v>
      </c>
      <c r="N134" s="426" t="e">
        <f t="shared" si="35"/>
        <v>#VALUE!</v>
      </c>
      <c r="O134" s="427" t="e">
        <f t="shared" si="35"/>
        <v>#VALUE!</v>
      </c>
      <c r="P134" s="427" t="e">
        <f t="shared" si="35"/>
        <v>#VALUE!</v>
      </c>
      <c r="Q134" s="427" t="e">
        <f t="shared" si="35"/>
        <v>#VALUE!</v>
      </c>
      <c r="R134" s="427" t="e">
        <f t="shared" si="35"/>
        <v>#VALUE!</v>
      </c>
      <c r="S134" s="427" t="e">
        <f t="shared" si="35"/>
        <v>#VALUE!</v>
      </c>
      <c r="T134" s="427" t="e">
        <f t="shared" si="35"/>
        <v>#VALUE!</v>
      </c>
      <c r="U134" s="427" t="e">
        <f t="shared" si="35"/>
        <v>#VALUE!</v>
      </c>
      <c r="V134" s="427" t="e">
        <f t="shared" si="35"/>
        <v>#VALUE!</v>
      </c>
      <c r="W134" s="427" t="e">
        <f t="shared" si="35"/>
        <v>#VALUE!</v>
      </c>
      <c r="X134" s="427" t="e">
        <f t="shared" si="35"/>
        <v>#VALUE!</v>
      </c>
      <c r="Y134" s="427" t="e">
        <f t="shared" si="35"/>
        <v>#VALUE!</v>
      </c>
      <c r="Z134" s="427" t="e">
        <f t="shared" si="35"/>
        <v>#VALUE!</v>
      </c>
      <c r="AA134" s="427" t="e">
        <f t="shared" si="35"/>
        <v>#VALUE!</v>
      </c>
      <c r="AB134" s="428" t="e">
        <f t="shared" si="35"/>
        <v>#VALUE!</v>
      </c>
      <c r="AC134" s="322"/>
    </row>
    <row r="135" spans="2:29" x14ac:dyDescent="0.25">
      <c r="B135" s="420"/>
      <c r="G135" s="420" t="str">
        <f t="shared" si="34"/>
        <v>Malkekøer, tung race Tyrekalv 0-1 mdr.</v>
      </c>
      <c r="H135" s="332">
        <v>0</v>
      </c>
      <c r="I135" s="694">
        <v>1</v>
      </c>
      <c r="J135" s="450">
        <f>(I135-H135)*$J$123</f>
        <v>30.416666666666668</v>
      </c>
      <c r="M135" s="67" t="str">
        <f t="shared" si="32"/>
        <v>Malkekøer, tung race Tyrekalv 0-1 mdr.</v>
      </c>
      <c r="N135" s="426" t="e">
        <f t="shared" si="35"/>
        <v>#VALUE!</v>
      </c>
      <c r="O135" s="427" t="e">
        <f t="shared" si="35"/>
        <v>#VALUE!</v>
      </c>
      <c r="P135" s="427" t="e">
        <f t="shared" si="35"/>
        <v>#VALUE!</v>
      </c>
      <c r="Q135" s="427" t="e">
        <f t="shared" si="35"/>
        <v>#VALUE!</v>
      </c>
      <c r="R135" s="427" t="e">
        <f t="shared" si="35"/>
        <v>#VALUE!</v>
      </c>
      <c r="S135" s="427" t="e">
        <f t="shared" si="35"/>
        <v>#VALUE!</v>
      </c>
      <c r="T135" s="427" t="e">
        <f t="shared" si="35"/>
        <v>#VALUE!</v>
      </c>
      <c r="U135" s="427" t="e">
        <f t="shared" si="35"/>
        <v>#VALUE!</v>
      </c>
      <c r="V135" s="427" t="e">
        <f t="shared" si="35"/>
        <v>#VALUE!</v>
      </c>
      <c r="W135" s="427" t="e">
        <f t="shared" si="35"/>
        <v>#VALUE!</v>
      </c>
      <c r="X135" s="427" t="e">
        <f t="shared" si="35"/>
        <v>#VALUE!</v>
      </c>
      <c r="Y135" s="427" t="e">
        <f t="shared" si="35"/>
        <v>#VALUE!</v>
      </c>
      <c r="Z135" s="427" t="e">
        <f t="shared" si="35"/>
        <v>#VALUE!</v>
      </c>
      <c r="AA135" s="427" t="e">
        <f t="shared" si="35"/>
        <v>#VALUE!</v>
      </c>
      <c r="AB135" s="428" t="e">
        <f t="shared" si="35"/>
        <v>#VALUE!</v>
      </c>
    </row>
    <row r="136" spans="2:29" x14ac:dyDescent="0.25">
      <c r="B136" s="420"/>
      <c r="G136" s="420" t="str">
        <f t="shared" si="34"/>
        <v>Tyrekalve 0-3 mdr.</v>
      </c>
      <c r="H136" s="451">
        <v>0</v>
      </c>
      <c r="I136" s="694">
        <v>3</v>
      </c>
      <c r="J136" s="450">
        <f>(I136-H136)*$J$123</f>
        <v>91.25</v>
      </c>
      <c r="K136" s="417"/>
      <c r="L136" s="452"/>
      <c r="M136" s="67" t="str">
        <f t="shared" si="32"/>
        <v>Tyrekalve 0-3 mdr.</v>
      </c>
      <c r="N136" s="426" t="e">
        <f t="shared" si="35"/>
        <v>#VALUE!</v>
      </c>
      <c r="O136" s="427" t="e">
        <f t="shared" si="35"/>
        <v>#VALUE!</v>
      </c>
      <c r="P136" s="427" t="e">
        <f t="shared" si="35"/>
        <v>#VALUE!</v>
      </c>
      <c r="Q136" s="427" t="e">
        <f t="shared" si="35"/>
        <v>#VALUE!</v>
      </c>
      <c r="R136" s="427" t="e">
        <f t="shared" si="35"/>
        <v>#VALUE!</v>
      </c>
      <c r="S136" s="427" t="e">
        <f t="shared" si="35"/>
        <v>#VALUE!</v>
      </c>
      <c r="T136" s="427" t="e">
        <f t="shared" si="35"/>
        <v>#VALUE!</v>
      </c>
      <c r="U136" s="427" t="e">
        <f t="shared" si="35"/>
        <v>#VALUE!</v>
      </c>
      <c r="V136" s="427" t="e">
        <f t="shared" si="35"/>
        <v>#VALUE!</v>
      </c>
      <c r="W136" s="427" t="e">
        <f t="shared" si="35"/>
        <v>#VALUE!</v>
      </c>
      <c r="X136" s="427" t="e">
        <f t="shared" si="35"/>
        <v>#VALUE!</v>
      </c>
      <c r="Y136" s="427" t="e">
        <f t="shared" si="35"/>
        <v>#VALUE!</v>
      </c>
      <c r="Z136" s="427" t="e">
        <f t="shared" si="35"/>
        <v>#VALUE!</v>
      </c>
      <c r="AA136" s="427" t="e">
        <f t="shared" si="35"/>
        <v>#VALUE!</v>
      </c>
      <c r="AB136" s="428" t="e">
        <f t="shared" si="35"/>
        <v>#VALUE!</v>
      </c>
      <c r="AC136" s="322"/>
    </row>
    <row r="137" spans="2:29" x14ac:dyDescent="0.25">
      <c r="B137" s="420"/>
      <c r="G137" s="420" t="str">
        <f t="shared" si="34"/>
        <v>Malkekøer, tung race Tyrekalve 0-6 mdr.</v>
      </c>
      <c r="H137" s="451"/>
      <c r="I137" s="694"/>
      <c r="J137" s="450"/>
      <c r="K137" s="416"/>
      <c r="L137" s="452"/>
      <c r="M137" s="67" t="str">
        <f t="shared" si="32"/>
        <v>Malkekøer, tung race Tyrekalve 0-6 mdr.</v>
      </c>
      <c r="N137" s="426" t="e">
        <f t="shared" si="35"/>
        <v>#VALUE!</v>
      </c>
      <c r="O137" s="427" t="e">
        <f t="shared" si="35"/>
        <v>#VALUE!</v>
      </c>
      <c r="P137" s="427" t="e">
        <f t="shared" si="35"/>
        <v>#VALUE!</v>
      </c>
      <c r="Q137" s="427" t="e">
        <f t="shared" si="35"/>
        <v>#VALUE!</v>
      </c>
      <c r="R137" s="427" t="e">
        <f t="shared" si="35"/>
        <v>#VALUE!</v>
      </c>
      <c r="S137" s="427" t="e">
        <f t="shared" si="35"/>
        <v>#VALUE!</v>
      </c>
      <c r="T137" s="427" t="e">
        <f t="shared" si="35"/>
        <v>#VALUE!</v>
      </c>
      <c r="U137" s="427" t="e">
        <f t="shared" si="35"/>
        <v>#VALUE!</v>
      </c>
      <c r="V137" s="427" t="e">
        <f t="shared" si="35"/>
        <v>#VALUE!</v>
      </c>
      <c r="W137" s="427" t="e">
        <f t="shared" si="35"/>
        <v>#VALUE!</v>
      </c>
      <c r="X137" s="427" t="e">
        <f t="shared" si="35"/>
        <v>#VALUE!</v>
      </c>
      <c r="Y137" s="427" t="e">
        <f t="shared" si="35"/>
        <v>#VALUE!</v>
      </c>
      <c r="Z137" s="427" t="e">
        <f t="shared" si="35"/>
        <v>#VALUE!</v>
      </c>
      <c r="AA137" s="427" t="e">
        <f t="shared" si="35"/>
        <v>#VALUE!</v>
      </c>
      <c r="AB137" s="428" t="e">
        <f t="shared" si="35"/>
        <v>#VALUE!</v>
      </c>
      <c r="AC137" s="278"/>
    </row>
    <row r="138" spans="2:29" x14ac:dyDescent="0.25">
      <c r="B138" s="420"/>
      <c r="G138" s="420" t="str">
        <f t="shared" si="34"/>
        <v>Malkekøer, tung race Tyre u. 12 mdr.</v>
      </c>
      <c r="H138" s="453">
        <v>3</v>
      </c>
      <c r="I138" s="694">
        <v>10.199999999999999</v>
      </c>
      <c r="J138" s="450">
        <f>(I138-H138)*$J$123</f>
        <v>219</v>
      </c>
      <c r="K138" s="417"/>
      <c r="L138" s="452"/>
      <c r="M138" s="67" t="str">
        <f t="shared" si="32"/>
        <v>Malkekøer, tung race Tyre u. 12 mdr.</v>
      </c>
      <c r="N138" s="426" t="e">
        <f t="shared" si="35"/>
        <v>#VALUE!</v>
      </c>
      <c r="O138" s="427" t="e">
        <f t="shared" si="35"/>
        <v>#VALUE!</v>
      </c>
      <c r="P138" s="427" t="e">
        <f t="shared" si="35"/>
        <v>#VALUE!</v>
      </c>
      <c r="Q138" s="427" t="e">
        <f t="shared" si="35"/>
        <v>#VALUE!</v>
      </c>
      <c r="R138" s="427" t="e">
        <f t="shared" si="35"/>
        <v>#VALUE!</v>
      </c>
      <c r="S138" s="427" t="e">
        <f t="shared" si="35"/>
        <v>#VALUE!</v>
      </c>
      <c r="T138" s="427" t="e">
        <f t="shared" si="35"/>
        <v>#VALUE!</v>
      </c>
      <c r="U138" s="427" t="e">
        <f t="shared" si="35"/>
        <v>#VALUE!</v>
      </c>
      <c r="V138" s="427" t="e">
        <f t="shared" si="35"/>
        <v>#VALUE!</v>
      </c>
      <c r="W138" s="427" t="e">
        <f t="shared" si="35"/>
        <v>#VALUE!</v>
      </c>
      <c r="X138" s="427" t="e">
        <f t="shared" si="35"/>
        <v>#VALUE!</v>
      </c>
      <c r="Y138" s="427" t="e">
        <f t="shared" si="35"/>
        <v>#VALUE!</v>
      </c>
      <c r="Z138" s="427" t="e">
        <f t="shared" si="35"/>
        <v>#VALUE!</v>
      </c>
      <c r="AA138" s="427" t="e">
        <f t="shared" si="35"/>
        <v>#VALUE!</v>
      </c>
      <c r="AB138" s="428" t="e">
        <f t="shared" si="35"/>
        <v>#VALUE!</v>
      </c>
      <c r="AC138" s="278"/>
    </row>
    <row r="139" spans="2:29" x14ac:dyDescent="0.25">
      <c r="B139" s="420"/>
      <c r="G139" s="420" t="str">
        <f t="shared" si="34"/>
        <v>Malkekøer, tung race Tyre o. 12 mdr.</v>
      </c>
      <c r="H139" s="528">
        <v>3</v>
      </c>
      <c r="I139" s="697">
        <v>14.6</v>
      </c>
      <c r="J139" s="529">
        <f>(I139-H139)*$J$123</f>
        <v>352.83333333333331</v>
      </c>
      <c r="K139" s="417"/>
      <c r="L139" s="416"/>
      <c r="M139" s="67" t="str">
        <f t="shared" si="32"/>
        <v>Malkekøer, tung race Tyre o. 12 mdr.</v>
      </c>
      <c r="N139" s="429" t="e">
        <f t="shared" si="35"/>
        <v>#VALUE!</v>
      </c>
      <c r="O139" s="430" t="e">
        <f t="shared" si="35"/>
        <v>#VALUE!</v>
      </c>
      <c r="P139" s="430" t="e">
        <f t="shared" si="35"/>
        <v>#VALUE!</v>
      </c>
      <c r="Q139" s="430" t="e">
        <f t="shared" si="35"/>
        <v>#VALUE!</v>
      </c>
      <c r="R139" s="430" t="e">
        <f t="shared" si="35"/>
        <v>#VALUE!</v>
      </c>
      <c r="S139" s="430" t="e">
        <f t="shared" si="35"/>
        <v>#VALUE!</v>
      </c>
      <c r="T139" s="430" t="e">
        <f t="shared" si="35"/>
        <v>#VALUE!</v>
      </c>
      <c r="U139" s="430" t="e">
        <f t="shared" si="35"/>
        <v>#VALUE!</v>
      </c>
      <c r="V139" s="430" t="e">
        <f t="shared" si="35"/>
        <v>#VALUE!</v>
      </c>
      <c r="W139" s="430" t="e">
        <f t="shared" si="35"/>
        <v>#VALUE!</v>
      </c>
      <c r="X139" s="430" t="e">
        <f t="shared" si="35"/>
        <v>#VALUE!</v>
      </c>
      <c r="Y139" s="430" t="e">
        <f t="shared" si="35"/>
        <v>#VALUE!</v>
      </c>
      <c r="Z139" s="430" t="e">
        <f t="shared" si="35"/>
        <v>#VALUE!</v>
      </c>
      <c r="AA139" s="430" t="e">
        <f t="shared" si="35"/>
        <v>#VALUE!</v>
      </c>
      <c r="AB139" s="431" t="e">
        <f t="shared" si="35"/>
        <v>#VALUE!</v>
      </c>
      <c r="AC139" s="278"/>
    </row>
    <row r="140" spans="2:29" x14ac:dyDescent="0.25">
      <c r="B140" s="420"/>
      <c r="G140" s="420"/>
      <c r="H140" s="445"/>
      <c r="I140" s="694"/>
      <c r="J140" s="498"/>
      <c r="K140" s="417"/>
      <c r="L140" s="416"/>
      <c r="M140" s="523"/>
      <c r="N140" s="427"/>
      <c r="O140" s="427"/>
      <c r="P140" s="427"/>
      <c r="Q140" s="427"/>
      <c r="R140" s="427"/>
      <c r="S140" s="427"/>
      <c r="T140" s="427"/>
      <c r="U140" s="427"/>
      <c r="V140" s="427"/>
      <c r="W140" s="427"/>
      <c r="X140" s="427"/>
      <c r="Y140" s="427"/>
      <c r="Z140" s="427"/>
      <c r="AA140" s="427"/>
      <c r="AB140" s="427"/>
      <c r="AC140" s="322"/>
    </row>
    <row r="141" spans="2:29" x14ac:dyDescent="0.25">
      <c r="B141" s="420"/>
      <c r="G141" s="420"/>
      <c r="H141" s="445"/>
      <c r="I141" s="694"/>
      <c r="J141" s="498"/>
      <c r="K141" s="417"/>
      <c r="L141" s="416"/>
      <c r="M141" s="523"/>
      <c r="N141" s="427"/>
      <c r="O141" s="427"/>
      <c r="P141" s="427"/>
      <c r="Q141" s="427"/>
      <c r="R141" s="427"/>
      <c r="S141" s="427"/>
      <c r="T141" s="427"/>
      <c r="U141" s="427"/>
      <c r="V141" s="427"/>
      <c r="W141" s="427"/>
      <c r="X141" s="427"/>
      <c r="Y141" s="427"/>
      <c r="Z141" s="427"/>
      <c r="AA141" s="427"/>
      <c r="AB141" s="427"/>
      <c r="AC141" s="322"/>
    </row>
    <row r="142" spans="2:29" x14ac:dyDescent="0.25">
      <c r="B142" s="420"/>
      <c r="G142" s="420"/>
      <c r="H142" s="445"/>
      <c r="I142" s="694"/>
      <c r="J142" s="498"/>
      <c r="K142" s="417"/>
      <c r="L142" s="416"/>
      <c r="M142" s="523"/>
      <c r="N142" s="427"/>
      <c r="O142" s="427"/>
      <c r="P142" s="427"/>
      <c r="Q142" s="427"/>
      <c r="R142" s="427"/>
      <c r="S142" s="427"/>
      <c r="T142" s="427"/>
      <c r="U142" s="427"/>
      <c r="V142" s="427"/>
      <c r="W142" s="427"/>
      <c r="X142" s="427"/>
      <c r="Y142" s="427"/>
      <c r="Z142" s="427"/>
      <c r="AA142" s="427"/>
      <c r="AB142" s="427"/>
      <c r="AC142" s="322"/>
    </row>
    <row r="143" spans="2:29" x14ac:dyDescent="0.25">
      <c r="B143" s="420"/>
      <c r="G143" s="420"/>
      <c r="H143" s="445"/>
      <c r="I143" s="694"/>
      <c r="J143" s="498"/>
      <c r="K143" s="417"/>
      <c r="L143" s="416"/>
      <c r="M143" s="523"/>
      <c r="N143" s="427"/>
      <c r="O143" s="427"/>
      <c r="P143" s="427"/>
      <c r="Q143" s="427"/>
      <c r="R143" s="427"/>
      <c r="S143" s="427"/>
      <c r="T143" s="427"/>
      <c r="U143" s="427"/>
      <c r="V143" s="427"/>
      <c r="W143" s="427"/>
      <c r="X143" s="427"/>
      <c r="Y143" s="427"/>
      <c r="Z143" s="427"/>
      <c r="AA143" s="427"/>
      <c r="AB143" s="427"/>
      <c r="AC143" s="322"/>
    </row>
    <row r="144" spans="2:29" x14ac:dyDescent="0.25">
      <c r="B144" s="420"/>
      <c r="G144" s="420"/>
      <c r="H144" s="445"/>
      <c r="I144" s="694"/>
      <c r="J144" s="498"/>
      <c r="K144" s="417"/>
      <c r="L144" s="416"/>
      <c r="M144" s="523"/>
      <c r="N144" s="427"/>
      <c r="O144" s="427"/>
      <c r="P144" s="427"/>
      <c r="Q144" s="427"/>
      <c r="R144" s="427"/>
      <c r="S144" s="427"/>
      <c r="T144" s="427"/>
      <c r="U144" s="427"/>
      <c r="V144" s="427"/>
      <c r="W144" s="427"/>
      <c r="X144" s="427"/>
      <c r="Y144" s="427"/>
      <c r="Z144" s="427"/>
      <c r="AA144" s="427"/>
      <c r="AB144" s="427"/>
      <c r="AC144" s="322"/>
    </row>
    <row r="145" spans="2:30" x14ac:dyDescent="0.25">
      <c r="B145" s="420"/>
      <c r="G145" s="420"/>
      <c r="H145" s="445"/>
      <c r="I145" s="694"/>
      <c r="J145" s="498"/>
      <c r="K145" s="417"/>
      <c r="L145" s="416"/>
      <c r="M145" s="523"/>
      <c r="N145" s="427"/>
      <c r="O145" s="427"/>
      <c r="P145" s="427"/>
      <c r="Q145" s="427"/>
      <c r="R145" s="427"/>
      <c r="S145" s="427"/>
      <c r="T145" s="427"/>
      <c r="U145" s="427"/>
      <c r="V145" s="427"/>
      <c r="W145" s="427"/>
      <c r="X145" s="427"/>
      <c r="Y145" s="427"/>
      <c r="Z145" s="427"/>
      <c r="AA145" s="427"/>
      <c r="AB145" s="427"/>
      <c r="AC145" s="322"/>
    </row>
    <row r="146" spans="2:30" x14ac:dyDescent="0.25">
      <c r="B146" s="420"/>
      <c r="G146" s="420"/>
      <c r="H146" s="445"/>
      <c r="I146" s="694"/>
      <c r="J146" s="498"/>
      <c r="K146" s="417"/>
      <c r="L146" s="416"/>
      <c r="M146" s="523"/>
      <c r="N146" s="430"/>
      <c r="O146" s="430"/>
      <c r="P146" s="430"/>
      <c r="Q146" s="430"/>
      <c r="R146" s="430"/>
      <c r="S146" s="430"/>
      <c r="T146" s="430"/>
      <c r="U146" s="430"/>
      <c r="V146" s="430"/>
      <c r="W146" s="430"/>
      <c r="X146" s="430"/>
      <c r="Y146" s="430"/>
      <c r="Z146" s="430"/>
      <c r="AA146" s="430"/>
      <c r="AB146" s="430"/>
      <c r="AC146" s="322"/>
    </row>
    <row r="147" spans="2:30" x14ac:dyDescent="0.25">
      <c r="B147" s="420"/>
      <c r="G147" s="420" t="str">
        <f t="shared" si="34"/>
        <v>Malkekøer, jersey Kalve 0-1 mdr.</v>
      </c>
      <c r="H147" s="505">
        <v>0</v>
      </c>
      <c r="I147" s="693">
        <v>1</v>
      </c>
      <c r="J147" s="535">
        <f>(I147-H147)*$J$123</f>
        <v>30.416666666666668</v>
      </c>
      <c r="K147" s="417"/>
      <c r="L147" s="416"/>
      <c r="M147" s="67" t="str">
        <f t="shared" ref="M147:M158" si="36">B107</f>
        <v>Malkekøer, jersey Kalve 0-1 mdr.</v>
      </c>
      <c r="N147" s="525" t="e">
        <f>IF(N$84*N107=0,"",N$84*N107)</f>
        <v>#VALUE!</v>
      </c>
      <c r="O147" s="526" t="e">
        <f t="shared" ref="O147:AB147" si="37">IF(O$84*O107=0,"",O$84*O107)</f>
        <v>#VALUE!</v>
      </c>
      <c r="P147" s="526" t="e">
        <f t="shared" si="37"/>
        <v>#VALUE!</v>
      </c>
      <c r="Q147" s="526" t="e">
        <f t="shared" si="37"/>
        <v>#VALUE!</v>
      </c>
      <c r="R147" s="526" t="e">
        <f t="shared" si="37"/>
        <v>#VALUE!</v>
      </c>
      <c r="S147" s="526" t="e">
        <f t="shared" si="37"/>
        <v>#VALUE!</v>
      </c>
      <c r="T147" s="526" t="e">
        <f t="shared" si="37"/>
        <v>#VALUE!</v>
      </c>
      <c r="U147" s="526" t="e">
        <f t="shared" si="37"/>
        <v>#VALUE!</v>
      </c>
      <c r="V147" s="526" t="e">
        <f t="shared" si="37"/>
        <v>#VALUE!</v>
      </c>
      <c r="W147" s="526" t="e">
        <f t="shared" si="37"/>
        <v>#VALUE!</v>
      </c>
      <c r="X147" s="526" t="e">
        <f t="shared" si="37"/>
        <v>#VALUE!</v>
      </c>
      <c r="Y147" s="526" t="e">
        <f t="shared" si="37"/>
        <v>#VALUE!</v>
      </c>
      <c r="Z147" s="526" t="e">
        <f t="shared" si="37"/>
        <v>#VALUE!</v>
      </c>
      <c r="AA147" s="526" t="e">
        <f t="shared" si="37"/>
        <v>#VALUE!</v>
      </c>
      <c r="AB147" s="527" t="e">
        <f t="shared" si="37"/>
        <v>#VALUE!</v>
      </c>
      <c r="AC147" s="278"/>
    </row>
    <row r="148" spans="2:30" x14ac:dyDescent="0.25">
      <c r="B148" s="420"/>
      <c r="G148" s="420" t="str">
        <f t="shared" si="34"/>
        <v>Kalve 0-3 mdr.</v>
      </c>
      <c r="H148" s="500">
        <v>0</v>
      </c>
      <c r="I148" s="698">
        <v>3</v>
      </c>
      <c r="J148" s="450">
        <f>(I148-H148)*$J$123</f>
        <v>91.25</v>
      </c>
      <c r="K148" s="417"/>
      <c r="L148" s="416"/>
      <c r="M148" s="67" t="str">
        <f t="shared" si="36"/>
        <v>Kalve 0-3 mdr.</v>
      </c>
      <c r="N148" s="426" t="e">
        <f t="shared" ref="N148:AB148" si="38">IF(N$84*N108=0,"",N$84*N108)</f>
        <v>#VALUE!</v>
      </c>
      <c r="O148" s="427" t="e">
        <f t="shared" si="38"/>
        <v>#VALUE!</v>
      </c>
      <c r="P148" s="427" t="e">
        <f t="shared" si="38"/>
        <v>#VALUE!</v>
      </c>
      <c r="Q148" s="427" t="e">
        <f t="shared" si="38"/>
        <v>#VALUE!</v>
      </c>
      <c r="R148" s="427" t="e">
        <f t="shared" si="38"/>
        <v>#VALUE!</v>
      </c>
      <c r="S148" s="427" t="e">
        <f t="shared" si="38"/>
        <v>#VALUE!</v>
      </c>
      <c r="T148" s="427" t="e">
        <f t="shared" si="38"/>
        <v>#VALUE!</v>
      </c>
      <c r="U148" s="427" t="e">
        <f t="shared" si="38"/>
        <v>#VALUE!</v>
      </c>
      <c r="V148" s="427" t="e">
        <f t="shared" si="38"/>
        <v>#VALUE!</v>
      </c>
      <c r="W148" s="427" t="e">
        <f t="shared" si="38"/>
        <v>#VALUE!</v>
      </c>
      <c r="X148" s="427" t="e">
        <f t="shared" si="38"/>
        <v>#VALUE!</v>
      </c>
      <c r="Y148" s="427" t="e">
        <f t="shared" si="38"/>
        <v>#VALUE!</v>
      </c>
      <c r="Z148" s="427" t="e">
        <f t="shared" si="38"/>
        <v>#VALUE!</v>
      </c>
      <c r="AA148" s="427" t="e">
        <f t="shared" si="38"/>
        <v>#VALUE!</v>
      </c>
      <c r="AB148" s="428" t="e">
        <f t="shared" si="38"/>
        <v>#VALUE!</v>
      </c>
      <c r="AC148" s="278"/>
    </row>
    <row r="149" spans="2:30" x14ac:dyDescent="0.25">
      <c r="B149" s="420"/>
      <c r="G149" s="420" t="str">
        <f t="shared" si="34"/>
        <v>Malkekøer, jersey Kalve 0-6 mdr.</v>
      </c>
      <c r="H149" s="500" t="s">
        <v>331</v>
      </c>
      <c r="I149" s="698">
        <v>6</v>
      </c>
      <c r="J149" s="448"/>
      <c r="K149" s="417"/>
      <c r="L149" s="416"/>
      <c r="M149" s="67" t="str">
        <f t="shared" si="36"/>
        <v>Malkekøer, jersey Kalve 0-6 mdr.</v>
      </c>
      <c r="N149" s="426" t="e">
        <f t="shared" ref="N149:AB149" si="39">IF(N$84*N109=0,"",N$84*N109)</f>
        <v>#VALUE!</v>
      </c>
      <c r="O149" s="427" t="e">
        <f t="shared" si="39"/>
        <v>#VALUE!</v>
      </c>
      <c r="P149" s="427" t="e">
        <f t="shared" si="39"/>
        <v>#VALUE!</v>
      </c>
      <c r="Q149" s="427" t="e">
        <f t="shared" si="39"/>
        <v>#VALUE!</v>
      </c>
      <c r="R149" s="427" t="e">
        <f t="shared" si="39"/>
        <v>#VALUE!</v>
      </c>
      <c r="S149" s="427" t="e">
        <f t="shared" si="39"/>
        <v>#VALUE!</v>
      </c>
      <c r="T149" s="427" t="e">
        <f t="shared" si="39"/>
        <v>#VALUE!</v>
      </c>
      <c r="U149" s="427" t="e">
        <f t="shared" si="39"/>
        <v>#VALUE!</v>
      </c>
      <c r="V149" s="427" t="e">
        <f t="shared" si="39"/>
        <v>#VALUE!</v>
      </c>
      <c r="W149" s="427" t="e">
        <f t="shared" si="39"/>
        <v>#VALUE!</v>
      </c>
      <c r="X149" s="427" t="e">
        <f t="shared" si="39"/>
        <v>#VALUE!</v>
      </c>
      <c r="Y149" s="427" t="e">
        <f t="shared" si="39"/>
        <v>#VALUE!</v>
      </c>
      <c r="Z149" s="427" t="e">
        <f t="shared" si="39"/>
        <v>#VALUE!</v>
      </c>
      <c r="AA149" s="427" t="e">
        <f t="shared" si="39"/>
        <v>#VALUE!</v>
      </c>
      <c r="AB149" s="428" t="e">
        <f t="shared" si="39"/>
        <v>#VALUE!</v>
      </c>
      <c r="AC149" s="278"/>
    </row>
    <row r="150" spans="2:30" x14ac:dyDescent="0.25">
      <c r="B150" s="420"/>
      <c r="G150" s="420" t="str">
        <f t="shared" si="34"/>
        <v>Malkekøer, jersey Kvier u. 18. mdr.</v>
      </c>
      <c r="H150" s="500">
        <v>3</v>
      </c>
      <c r="I150" s="698">
        <v>13</v>
      </c>
      <c r="J150" s="450">
        <f>(I150-H150)*$J$123</f>
        <v>304.16666666666669</v>
      </c>
      <c r="K150" s="417"/>
      <c r="L150" s="416"/>
      <c r="M150" s="67" t="str">
        <f t="shared" si="36"/>
        <v>Malkekøer, jersey Kvier u. 18. mdr.</v>
      </c>
      <c r="N150" s="426" t="e">
        <f t="shared" ref="N150:AB150" si="40">IF(N$84*N110=0,"",N$84*N110)</f>
        <v>#VALUE!</v>
      </c>
      <c r="O150" s="427" t="e">
        <f t="shared" si="40"/>
        <v>#VALUE!</v>
      </c>
      <c r="P150" s="427" t="e">
        <f t="shared" si="40"/>
        <v>#VALUE!</v>
      </c>
      <c r="Q150" s="427" t="e">
        <f t="shared" si="40"/>
        <v>#VALUE!</v>
      </c>
      <c r="R150" s="427" t="e">
        <f t="shared" si="40"/>
        <v>#VALUE!</v>
      </c>
      <c r="S150" s="427" t="e">
        <f t="shared" si="40"/>
        <v>#VALUE!</v>
      </c>
      <c r="T150" s="427" t="e">
        <f t="shared" si="40"/>
        <v>#VALUE!</v>
      </c>
      <c r="U150" s="427" t="e">
        <f t="shared" si="40"/>
        <v>#VALUE!</v>
      </c>
      <c r="V150" s="427" t="e">
        <f t="shared" si="40"/>
        <v>#VALUE!</v>
      </c>
      <c r="W150" s="427" t="e">
        <f t="shared" si="40"/>
        <v>#VALUE!</v>
      </c>
      <c r="X150" s="427" t="e">
        <f t="shared" si="40"/>
        <v>#VALUE!</v>
      </c>
      <c r="Y150" s="427" t="e">
        <f t="shared" si="40"/>
        <v>#VALUE!</v>
      </c>
      <c r="Z150" s="427" t="e">
        <f t="shared" si="40"/>
        <v>#VALUE!</v>
      </c>
      <c r="AA150" s="427" t="e">
        <f t="shared" si="40"/>
        <v>#VALUE!</v>
      </c>
      <c r="AB150" s="428" t="e">
        <f t="shared" si="40"/>
        <v>#VALUE!</v>
      </c>
      <c r="AC150" s="278"/>
    </row>
    <row r="151" spans="2:30" x14ac:dyDescent="0.25">
      <c r="B151" s="420"/>
      <c r="G151" s="420" t="str">
        <f t="shared" si="34"/>
        <v>Malkekøer, jersey Kvier o. 18. mdr.</v>
      </c>
      <c r="H151" s="500">
        <v>3</v>
      </c>
      <c r="I151" s="698">
        <v>24.2</v>
      </c>
      <c r="J151" s="450">
        <f>(I151-H151)*$J$123</f>
        <v>644.83333333333337</v>
      </c>
      <c r="K151" s="417"/>
      <c r="L151" s="416"/>
      <c r="M151" s="67" t="str">
        <f t="shared" si="36"/>
        <v>Malkekøer, jersey Kvier o. 18. mdr.</v>
      </c>
      <c r="N151" s="426" t="e">
        <f t="shared" ref="N151:AB151" si="41">IF(N$84*N111=0,"",N$84*N111)</f>
        <v>#VALUE!</v>
      </c>
      <c r="O151" s="427" t="e">
        <f t="shared" si="41"/>
        <v>#VALUE!</v>
      </c>
      <c r="P151" s="427" t="e">
        <f t="shared" si="41"/>
        <v>#VALUE!</v>
      </c>
      <c r="Q151" s="427" t="e">
        <f t="shared" si="41"/>
        <v>#VALUE!</v>
      </c>
      <c r="R151" s="427" t="e">
        <f t="shared" si="41"/>
        <v>#VALUE!</v>
      </c>
      <c r="S151" s="427" t="e">
        <f t="shared" si="41"/>
        <v>#VALUE!</v>
      </c>
      <c r="T151" s="427" t="e">
        <f t="shared" si="41"/>
        <v>#VALUE!</v>
      </c>
      <c r="U151" s="427" t="e">
        <f t="shared" si="41"/>
        <v>#VALUE!</v>
      </c>
      <c r="V151" s="427" t="e">
        <f t="shared" si="41"/>
        <v>#VALUE!</v>
      </c>
      <c r="W151" s="427" t="e">
        <f t="shared" si="41"/>
        <v>#VALUE!</v>
      </c>
      <c r="X151" s="427" t="e">
        <f t="shared" si="41"/>
        <v>#VALUE!</v>
      </c>
      <c r="Y151" s="427" t="e">
        <f t="shared" si="41"/>
        <v>#VALUE!</v>
      </c>
      <c r="Z151" s="427" t="e">
        <f t="shared" si="41"/>
        <v>#VALUE!</v>
      </c>
      <c r="AA151" s="427" t="e">
        <f t="shared" si="41"/>
        <v>#VALUE!</v>
      </c>
      <c r="AB151" s="428" t="e">
        <f t="shared" si="41"/>
        <v>#VALUE!</v>
      </c>
      <c r="AC151" s="278"/>
    </row>
    <row r="152" spans="2:30" x14ac:dyDescent="0.25">
      <c r="B152" s="420"/>
      <c r="G152" s="420" t="str">
        <f t="shared" si="34"/>
        <v>Malkekøer, jersey Stude</v>
      </c>
      <c r="H152" s="500">
        <v>3</v>
      </c>
      <c r="I152" s="698">
        <v>22.3</v>
      </c>
      <c r="J152" s="450">
        <f>(I152-H152)*$J$123</f>
        <v>587.04166666666674</v>
      </c>
      <c r="K152" s="417"/>
      <c r="L152" s="416"/>
      <c r="M152" s="67" t="str">
        <f t="shared" si="36"/>
        <v>Malkekøer, jersey Stude</v>
      </c>
      <c r="N152" s="426" t="e">
        <f t="shared" ref="N152:AB152" si="42">IF(N$84*N112=0,"",N$84*N112)</f>
        <v>#VALUE!</v>
      </c>
      <c r="O152" s="427" t="e">
        <f t="shared" si="42"/>
        <v>#VALUE!</v>
      </c>
      <c r="P152" s="427" t="e">
        <f t="shared" si="42"/>
        <v>#VALUE!</v>
      </c>
      <c r="Q152" s="427" t="e">
        <f t="shared" si="42"/>
        <v>#VALUE!</v>
      </c>
      <c r="R152" s="427" t="e">
        <f t="shared" si="42"/>
        <v>#VALUE!</v>
      </c>
      <c r="S152" s="427" t="e">
        <f t="shared" si="42"/>
        <v>#VALUE!</v>
      </c>
      <c r="T152" s="427" t="e">
        <f t="shared" si="42"/>
        <v>#VALUE!</v>
      </c>
      <c r="U152" s="427" t="e">
        <f t="shared" si="42"/>
        <v>#VALUE!</v>
      </c>
      <c r="V152" s="427" t="e">
        <f t="shared" si="42"/>
        <v>#VALUE!</v>
      </c>
      <c r="W152" s="427" t="e">
        <f t="shared" si="42"/>
        <v>#VALUE!</v>
      </c>
      <c r="X152" s="427" t="e">
        <f t="shared" si="42"/>
        <v>#VALUE!</v>
      </c>
      <c r="Y152" s="427" t="e">
        <f t="shared" si="42"/>
        <v>#VALUE!</v>
      </c>
      <c r="Z152" s="427" t="e">
        <f t="shared" si="42"/>
        <v>#VALUE!</v>
      </c>
      <c r="AA152" s="427" t="e">
        <f t="shared" si="42"/>
        <v>#VALUE!</v>
      </c>
      <c r="AB152" s="428" t="e">
        <f t="shared" si="42"/>
        <v>#VALUE!</v>
      </c>
      <c r="AC152" s="278"/>
    </row>
    <row r="153" spans="2:30" x14ac:dyDescent="0.25">
      <c r="B153" s="420"/>
      <c r="G153" s="420" t="str">
        <f t="shared" si="34"/>
        <v>Malkekøer, jersey Køer</v>
      </c>
      <c r="H153" s="545">
        <f>I151</f>
        <v>24.2</v>
      </c>
      <c r="I153" s="698">
        <v>61.1</v>
      </c>
      <c r="J153" s="546">
        <v>365</v>
      </c>
      <c r="K153" s="417"/>
      <c r="L153" s="416"/>
      <c r="M153" s="67" t="str">
        <f t="shared" si="36"/>
        <v>Malkekøer, jersey Køer</v>
      </c>
      <c r="N153" s="426" t="e">
        <f t="shared" ref="N153:AB153" si="43">IF(N$84*N113=0,"",N$84*N113)</f>
        <v>#VALUE!</v>
      </c>
      <c r="O153" s="427" t="e">
        <f t="shared" si="43"/>
        <v>#VALUE!</v>
      </c>
      <c r="P153" s="427" t="e">
        <f t="shared" si="43"/>
        <v>#VALUE!</v>
      </c>
      <c r="Q153" s="427" t="e">
        <f t="shared" si="43"/>
        <v>#VALUE!</v>
      </c>
      <c r="R153" s="427" t="e">
        <f t="shared" si="43"/>
        <v>#VALUE!</v>
      </c>
      <c r="S153" s="427" t="e">
        <f t="shared" si="43"/>
        <v>#VALUE!</v>
      </c>
      <c r="T153" s="427" t="e">
        <f t="shared" si="43"/>
        <v>#VALUE!</v>
      </c>
      <c r="U153" s="427" t="e">
        <f t="shared" si="43"/>
        <v>#VALUE!</v>
      </c>
      <c r="V153" s="427" t="e">
        <f t="shared" si="43"/>
        <v>#VALUE!</v>
      </c>
      <c r="W153" s="427" t="e">
        <f t="shared" si="43"/>
        <v>#VALUE!</v>
      </c>
      <c r="X153" s="427" t="e">
        <f t="shared" si="43"/>
        <v>#VALUE!</v>
      </c>
      <c r="Y153" s="427" t="e">
        <f t="shared" si="43"/>
        <v>#VALUE!</v>
      </c>
      <c r="Z153" s="427" t="e">
        <f t="shared" si="43"/>
        <v>#VALUE!</v>
      </c>
      <c r="AA153" s="427" t="e">
        <f t="shared" si="43"/>
        <v>#VALUE!</v>
      </c>
      <c r="AB153" s="428" t="e">
        <f t="shared" si="43"/>
        <v>#VALUE!</v>
      </c>
      <c r="AC153" s="278"/>
    </row>
    <row r="154" spans="2:30" x14ac:dyDescent="0.25">
      <c r="B154" s="420"/>
      <c r="G154" s="420" t="str">
        <f t="shared" si="34"/>
        <v>Malkekøer, jersey Tyrekalv 0-1 mdr.</v>
      </c>
      <c r="H154" s="500">
        <v>0</v>
      </c>
      <c r="I154" s="698">
        <v>1</v>
      </c>
      <c r="J154" s="450">
        <f>(I154-H154)*$J$123</f>
        <v>30.416666666666668</v>
      </c>
      <c r="K154" s="417"/>
      <c r="L154" s="416"/>
      <c r="M154" s="67" t="str">
        <f t="shared" si="36"/>
        <v>Malkekøer, jersey Tyrekalv 0-1 mdr.</v>
      </c>
      <c r="N154" s="426" t="e">
        <f t="shared" ref="N154:AB154" si="44">IF(N$84*N114=0,"",N$84*N114)</f>
        <v>#VALUE!</v>
      </c>
      <c r="O154" s="427" t="e">
        <f t="shared" si="44"/>
        <v>#VALUE!</v>
      </c>
      <c r="P154" s="427" t="e">
        <f t="shared" si="44"/>
        <v>#VALUE!</v>
      </c>
      <c r="Q154" s="427" t="e">
        <f t="shared" si="44"/>
        <v>#VALUE!</v>
      </c>
      <c r="R154" s="427" t="e">
        <f t="shared" si="44"/>
        <v>#VALUE!</v>
      </c>
      <c r="S154" s="427" t="e">
        <f t="shared" si="44"/>
        <v>#VALUE!</v>
      </c>
      <c r="T154" s="427" t="e">
        <f t="shared" si="44"/>
        <v>#VALUE!</v>
      </c>
      <c r="U154" s="427" t="e">
        <f t="shared" si="44"/>
        <v>#VALUE!</v>
      </c>
      <c r="V154" s="427" t="e">
        <f t="shared" si="44"/>
        <v>#VALUE!</v>
      </c>
      <c r="W154" s="427" t="e">
        <f t="shared" si="44"/>
        <v>#VALUE!</v>
      </c>
      <c r="X154" s="427" t="e">
        <f t="shared" si="44"/>
        <v>#VALUE!</v>
      </c>
      <c r="Y154" s="427" t="e">
        <f t="shared" si="44"/>
        <v>#VALUE!</v>
      </c>
      <c r="Z154" s="427" t="e">
        <f t="shared" si="44"/>
        <v>#VALUE!</v>
      </c>
      <c r="AA154" s="427" t="e">
        <f t="shared" si="44"/>
        <v>#VALUE!</v>
      </c>
      <c r="AB154" s="428" t="e">
        <f t="shared" si="44"/>
        <v>#VALUE!</v>
      </c>
      <c r="AC154" s="278"/>
    </row>
    <row r="155" spans="2:30" x14ac:dyDescent="0.25">
      <c r="B155" s="420"/>
      <c r="G155" s="420" t="str">
        <f t="shared" si="34"/>
        <v>Tyrekalve 0-3 mdr.</v>
      </c>
      <c r="H155" s="500">
        <v>0</v>
      </c>
      <c r="I155" s="698">
        <v>3</v>
      </c>
      <c r="J155" s="450">
        <f>(I155-H155)*$J$123</f>
        <v>91.25</v>
      </c>
      <c r="K155" s="417"/>
      <c r="L155" s="416"/>
      <c r="M155" s="67" t="str">
        <f t="shared" si="36"/>
        <v>Tyrekalve 0-3 mdr.</v>
      </c>
      <c r="N155" s="426" t="e">
        <f t="shared" ref="N155:AB155" si="45">IF(N$84*N115=0,"",N$84*N115)</f>
        <v>#VALUE!</v>
      </c>
      <c r="O155" s="427" t="e">
        <f t="shared" si="45"/>
        <v>#VALUE!</v>
      </c>
      <c r="P155" s="427" t="e">
        <f t="shared" si="45"/>
        <v>#VALUE!</v>
      </c>
      <c r="Q155" s="427" t="e">
        <f t="shared" si="45"/>
        <v>#VALUE!</v>
      </c>
      <c r="R155" s="427" t="e">
        <f t="shared" si="45"/>
        <v>#VALUE!</v>
      </c>
      <c r="S155" s="427" t="e">
        <f t="shared" si="45"/>
        <v>#VALUE!</v>
      </c>
      <c r="T155" s="427" t="e">
        <f t="shared" si="45"/>
        <v>#VALUE!</v>
      </c>
      <c r="U155" s="427" t="e">
        <f t="shared" si="45"/>
        <v>#VALUE!</v>
      </c>
      <c r="V155" s="427" t="e">
        <f t="shared" si="45"/>
        <v>#VALUE!</v>
      </c>
      <c r="W155" s="427" t="e">
        <f t="shared" si="45"/>
        <v>#VALUE!</v>
      </c>
      <c r="X155" s="427" t="e">
        <f t="shared" si="45"/>
        <v>#VALUE!</v>
      </c>
      <c r="Y155" s="427" t="e">
        <f t="shared" si="45"/>
        <v>#VALUE!</v>
      </c>
      <c r="Z155" s="427" t="e">
        <f t="shared" si="45"/>
        <v>#VALUE!</v>
      </c>
      <c r="AA155" s="427" t="e">
        <f t="shared" si="45"/>
        <v>#VALUE!</v>
      </c>
      <c r="AB155" s="428" t="e">
        <f t="shared" si="45"/>
        <v>#VALUE!</v>
      </c>
      <c r="AC155" s="278"/>
    </row>
    <row r="156" spans="2:30" x14ac:dyDescent="0.25">
      <c r="B156" s="420"/>
      <c r="G156" s="420" t="str">
        <f t="shared" si="34"/>
        <v>Malkekøer, jersey Tyrekalv 0-6 mdr.</v>
      </c>
      <c r="H156" s="500" t="s">
        <v>331</v>
      </c>
      <c r="I156" s="698">
        <v>6</v>
      </c>
      <c r="J156" s="450"/>
      <c r="K156" s="417"/>
      <c r="L156" s="416"/>
      <c r="M156" s="67" t="str">
        <f t="shared" si="36"/>
        <v>Malkekøer, jersey Tyrekalv 0-6 mdr.</v>
      </c>
      <c r="N156" s="426" t="e">
        <f t="shared" ref="N156:AB156" si="46">IF(N$84*N116=0,"",N$84*N116)</f>
        <v>#VALUE!</v>
      </c>
      <c r="O156" s="427" t="e">
        <f t="shared" si="46"/>
        <v>#VALUE!</v>
      </c>
      <c r="P156" s="427" t="e">
        <f t="shared" si="46"/>
        <v>#VALUE!</v>
      </c>
      <c r="Q156" s="427" t="e">
        <f t="shared" si="46"/>
        <v>#VALUE!</v>
      </c>
      <c r="R156" s="427" t="e">
        <f t="shared" si="46"/>
        <v>#VALUE!</v>
      </c>
      <c r="S156" s="427" t="e">
        <f t="shared" si="46"/>
        <v>#VALUE!</v>
      </c>
      <c r="T156" s="427" t="e">
        <f t="shared" si="46"/>
        <v>#VALUE!</v>
      </c>
      <c r="U156" s="427" t="e">
        <f t="shared" si="46"/>
        <v>#VALUE!</v>
      </c>
      <c r="V156" s="427" t="e">
        <f t="shared" si="46"/>
        <v>#VALUE!</v>
      </c>
      <c r="W156" s="427" t="e">
        <f t="shared" si="46"/>
        <v>#VALUE!</v>
      </c>
      <c r="X156" s="427" t="e">
        <f t="shared" si="46"/>
        <v>#VALUE!</v>
      </c>
      <c r="Y156" s="427" t="e">
        <f t="shared" si="46"/>
        <v>#VALUE!</v>
      </c>
      <c r="Z156" s="427" t="e">
        <f t="shared" si="46"/>
        <v>#VALUE!</v>
      </c>
      <c r="AA156" s="427" t="e">
        <f t="shared" si="46"/>
        <v>#VALUE!</v>
      </c>
      <c r="AB156" s="428" t="e">
        <f t="shared" si="46"/>
        <v>#VALUE!</v>
      </c>
      <c r="AC156" s="278"/>
    </row>
    <row r="157" spans="2:30" x14ac:dyDescent="0.25">
      <c r="B157" s="420"/>
      <c r="G157" s="420" t="str">
        <f t="shared" si="34"/>
        <v>Malkekøer, jersey Tyre u. 12 mdr.</v>
      </c>
      <c r="H157" s="500">
        <v>3</v>
      </c>
      <c r="I157" s="698">
        <v>9.1999999999999993</v>
      </c>
      <c r="J157" s="450">
        <f>(I157-H157)*$J$123</f>
        <v>188.58333333333331</v>
      </c>
      <c r="K157" s="417"/>
      <c r="L157" s="416"/>
      <c r="M157" s="67" t="str">
        <f t="shared" si="36"/>
        <v>Malkekøer, jersey Tyre u. 12 mdr.</v>
      </c>
      <c r="N157" s="426" t="e">
        <f t="shared" ref="N157:AB157" si="47">IF(N$84*N117=0,"",N$84*N117)</f>
        <v>#VALUE!</v>
      </c>
      <c r="O157" s="427" t="e">
        <f t="shared" si="47"/>
        <v>#VALUE!</v>
      </c>
      <c r="P157" s="427" t="e">
        <f t="shared" si="47"/>
        <v>#VALUE!</v>
      </c>
      <c r="Q157" s="427" t="e">
        <f t="shared" si="47"/>
        <v>#VALUE!</v>
      </c>
      <c r="R157" s="427" t="e">
        <f t="shared" si="47"/>
        <v>#VALUE!</v>
      </c>
      <c r="S157" s="427" t="e">
        <f t="shared" si="47"/>
        <v>#VALUE!</v>
      </c>
      <c r="T157" s="427" t="e">
        <f t="shared" si="47"/>
        <v>#VALUE!</v>
      </c>
      <c r="U157" s="427" t="e">
        <f t="shared" si="47"/>
        <v>#VALUE!</v>
      </c>
      <c r="V157" s="427" t="e">
        <f t="shared" si="47"/>
        <v>#VALUE!</v>
      </c>
      <c r="W157" s="427" t="e">
        <f t="shared" si="47"/>
        <v>#VALUE!</v>
      </c>
      <c r="X157" s="427" t="e">
        <f t="shared" si="47"/>
        <v>#VALUE!</v>
      </c>
      <c r="Y157" s="427" t="e">
        <f t="shared" si="47"/>
        <v>#VALUE!</v>
      </c>
      <c r="Z157" s="427" t="e">
        <f t="shared" si="47"/>
        <v>#VALUE!</v>
      </c>
      <c r="AA157" s="427" t="e">
        <f t="shared" si="47"/>
        <v>#VALUE!</v>
      </c>
      <c r="AB157" s="428" t="e">
        <f t="shared" si="47"/>
        <v>#VALUE!</v>
      </c>
      <c r="AC157" s="278"/>
    </row>
    <row r="158" spans="2:30" x14ac:dyDescent="0.25">
      <c r="B158" s="420"/>
      <c r="G158" s="420" t="str">
        <f t="shared" si="34"/>
        <v>Malkekøer, jersey Tyre o. 12 mdr.</v>
      </c>
      <c r="H158" s="502">
        <v>3</v>
      </c>
      <c r="I158" s="699">
        <v>17.7</v>
      </c>
      <c r="J158" s="529">
        <f>(I158-H158)*$J$123</f>
        <v>447.125</v>
      </c>
      <c r="K158" s="417"/>
      <c r="L158" s="416"/>
      <c r="M158" s="67" t="str">
        <f t="shared" si="36"/>
        <v>Malkekøer, jersey Tyre o. 12 mdr.</v>
      </c>
      <c r="N158" s="429" t="e">
        <f t="shared" ref="N158:AB158" si="48">IF(N$84*N118=0,"",N$84*N118)</f>
        <v>#VALUE!</v>
      </c>
      <c r="O158" s="430" t="e">
        <f t="shared" si="48"/>
        <v>#VALUE!</v>
      </c>
      <c r="P158" s="430" t="e">
        <f t="shared" si="48"/>
        <v>#VALUE!</v>
      </c>
      <c r="Q158" s="430" t="e">
        <f t="shared" si="48"/>
        <v>#VALUE!</v>
      </c>
      <c r="R158" s="430" t="e">
        <f t="shared" si="48"/>
        <v>#VALUE!</v>
      </c>
      <c r="S158" s="430" t="e">
        <f t="shared" si="48"/>
        <v>#VALUE!</v>
      </c>
      <c r="T158" s="430" t="e">
        <f t="shared" si="48"/>
        <v>#VALUE!</v>
      </c>
      <c r="U158" s="430" t="e">
        <f t="shared" si="48"/>
        <v>#VALUE!</v>
      </c>
      <c r="V158" s="430" t="e">
        <f t="shared" si="48"/>
        <v>#VALUE!</v>
      </c>
      <c r="W158" s="430" t="e">
        <f t="shared" si="48"/>
        <v>#VALUE!</v>
      </c>
      <c r="X158" s="430" t="e">
        <f t="shared" si="48"/>
        <v>#VALUE!</v>
      </c>
      <c r="Y158" s="430" t="e">
        <f t="shared" si="48"/>
        <v>#VALUE!</v>
      </c>
      <c r="Z158" s="430" t="e">
        <f t="shared" si="48"/>
        <v>#VALUE!</v>
      </c>
      <c r="AA158" s="430" t="e">
        <f t="shared" si="48"/>
        <v>#VALUE!</v>
      </c>
      <c r="AB158" s="431" t="e">
        <f t="shared" si="48"/>
        <v>#VALUE!</v>
      </c>
      <c r="AC158" s="278"/>
    </row>
    <row r="159" spans="2:30" x14ac:dyDescent="0.25">
      <c r="B159" s="420"/>
      <c r="G159" s="452"/>
      <c r="H159" s="375" t="str">
        <f t="shared" ref="H159:J159" si="49">IF(H146="","",H146)</f>
        <v/>
      </c>
      <c r="I159" s="375" t="str">
        <f t="shared" si="49"/>
        <v/>
      </c>
      <c r="J159" s="375" t="str">
        <f t="shared" si="49"/>
        <v/>
      </c>
      <c r="K159" s="417"/>
      <c r="L159" s="416"/>
      <c r="M159" s="523"/>
      <c r="N159" s="427"/>
      <c r="O159" s="427"/>
      <c r="P159" s="427"/>
      <c r="Q159" s="427"/>
      <c r="R159" s="427"/>
      <c r="S159" s="427"/>
      <c r="T159" s="427"/>
      <c r="U159" s="427"/>
      <c r="V159" s="427"/>
      <c r="W159" s="427"/>
      <c r="X159" s="427"/>
      <c r="Y159" s="427"/>
      <c r="Z159" s="427"/>
      <c r="AA159" s="427"/>
      <c r="AB159" s="427"/>
      <c r="AC159" s="322"/>
      <c r="AD159" s="5"/>
    </row>
    <row r="160" spans="2:30" x14ac:dyDescent="0.25">
      <c r="B160" s="420"/>
      <c r="G160" s="452"/>
      <c r="H160" s="445"/>
      <c r="I160" s="444"/>
      <c r="J160" s="498"/>
      <c r="K160" s="417"/>
      <c r="L160" s="416"/>
      <c r="M160" s="416"/>
      <c r="P160" s="278"/>
      <c r="Q160" s="278"/>
      <c r="R160" s="278"/>
      <c r="S160" s="278"/>
      <c r="T160" s="278"/>
      <c r="U160" s="278"/>
      <c r="V160" s="278"/>
      <c r="W160" s="278"/>
      <c r="X160" s="278"/>
      <c r="Y160" s="278"/>
      <c r="Z160" s="278"/>
      <c r="AA160" s="278"/>
      <c r="AB160" s="278"/>
      <c r="AC160" s="278"/>
    </row>
    <row r="161" spans="2:29" x14ac:dyDescent="0.25">
      <c r="B161" s="420"/>
      <c r="C161" s="421"/>
      <c r="D161" s="422"/>
      <c r="E161" s="416"/>
      <c r="F161" s="416"/>
      <c r="G161" s="416"/>
      <c r="H161" s="416"/>
      <c r="I161" s="416"/>
      <c r="J161" s="416"/>
      <c r="K161" s="416"/>
      <c r="L161" s="416"/>
      <c r="M161" s="416"/>
      <c r="N161" s="16"/>
      <c r="O161" s="16"/>
      <c r="P161" s="16"/>
      <c r="Q161" s="16"/>
      <c r="R161" s="16"/>
      <c r="S161" s="16"/>
      <c r="T161" s="16"/>
      <c r="U161" s="16"/>
      <c r="V161" s="16"/>
      <c r="W161" s="16"/>
      <c r="X161" s="16"/>
      <c r="Y161" s="16"/>
      <c r="Z161" s="16"/>
      <c r="AA161" s="16"/>
      <c r="AB161" s="16"/>
      <c r="AC161" s="278"/>
    </row>
    <row r="162" spans="2:29" x14ac:dyDescent="0.25">
      <c r="B162" s="420"/>
      <c r="C162" s="421"/>
      <c r="D162" s="422"/>
      <c r="E162" s="416"/>
      <c r="F162" s="416"/>
      <c r="G162" s="12" t="s">
        <v>417</v>
      </c>
      <c r="H162" s="416"/>
      <c r="I162" s="416"/>
      <c r="J162" s="416"/>
      <c r="K162" s="279" t="s">
        <v>543</v>
      </c>
      <c r="L162" s="278"/>
      <c r="M162" s="278"/>
      <c r="N162" s="16"/>
      <c r="O162" s="16"/>
      <c r="P162" s="16"/>
      <c r="Q162" s="16"/>
      <c r="R162" s="16"/>
      <c r="S162" s="16"/>
      <c r="T162" s="16"/>
      <c r="U162" s="16"/>
      <c r="V162" s="16"/>
      <c r="W162" s="16"/>
      <c r="X162" s="16"/>
      <c r="Y162" s="16"/>
      <c r="Z162" s="16"/>
      <c r="AA162" s="16"/>
      <c r="AB162" s="16"/>
      <c r="AC162" s="278"/>
    </row>
    <row r="163" spans="2:29" x14ac:dyDescent="0.25">
      <c r="H163" s="331" t="s">
        <v>296</v>
      </c>
      <c r="I163" s="329" t="s">
        <v>298</v>
      </c>
      <c r="K163" s="325"/>
      <c r="L163" s="530" t="s">
        <v>296</v>
      </c>
      <c r="M163" s="531" t="s">
        <v>298</v>
      </c>
      <c r="N163" s="16"/>
      <c r="O163" s="16"/>
      <c r="P163" s="16"/>
      <c r="Q163" s="16"/>
      <c r="R163" s="16"/>
      <c r="S163" s="16"/>
      <c r="T163" s="16"/>
      <c r="U163" s="16"/>
      <c r="V163" s="16"/>
      <c r="W163" s="16"/>
      <c r="X163" s="16"/>
      <c r="Y163" s="16"/>
      <c r="Z163" s="16"/>
      <c r="AA163" s="16"/>
      <c r="AB163" s="16"/>
      <c r="AC163" s="278"/>
    </row>
    <row r="164" spans="2:29" x14ac:dyDescent="0.25">
      <c r="H164" s="332"/>
      <c r="I164" s="330"/>
      <c r="K164" s="325"/>
      <c r="L164" s="532"/>
      <c r="M164" s="533"/>
      <c r="N164" s="16"/>
      <c r="O164" s="16"/>
      <c r="P164" s="16"/>
      <c r="Q164" s="16"/>
      <c r="R164" s="16"/>
      <c r="S164" s="16"/>
      <c r="T164" s="16"/>
      <c r="U164" s="16"/>
      <c r="V164" s="16"/>
      <c r="W164" s="16"/>
      <c r="X164" s="16"/>
      <c r="Y164" s="16"/>
      <c r="Z164" s="16"/>
      <c r="AA164" s="16"/>
      <c r="AB164" s="16"/>
      <c r="AC164" s="278"/>
    </row>
    <row r="165" spans="2:29" x14ac:dyDescent="0.25">
      <c r="H165" s="503" t="s">
        <v>555</v>
      </c>
      <c r="I165" s="504" t="s">
        <v>555</v>
      </c>
      <c r="K165" s="325"/>
      <c r="L165" s="538" t="s">
        <v>555</v>
      </c>
      <c r="M165" s="539" t="s">
        <v>555</v>
      </c>
      <c r="N165" s="16"/>
      <c r="O165" s="16"/>
      <c r="P165" s="16"/>
      <c r="Q165" s="16"/>
      <c r="R165" s="16"/>
      <c r="S165" s="16"/>
      <c r="T165" s="16"/>
      <c r="U165" s="16"/>
      <c r="V165" s="16"/>
      <c r="W165" s="16"/>
      <c r="X165" s="16"/>
      <c r="Y165" s="16"/>
      <c r="Z165" s="16"/>
      <c r="AA165" s="16"/>
      <c r="AB165" s="16"/>
      <c r="AC165" s="278"/>
    </row>
    <row r="166" spans="2:29" x14ac:dyDescent="0.25">
      <c r="G166" s="67" t="str">
        <f>B88</f>
        <v>Malkekøer, tung race Kalve 0-1 mdr.</v>
      </c>
      <c r="H166" s="505"/>
      <c r="I166" s="15"/>
      <c r="K166" s="486" t="str">
        <f>G166</f>
        <v>Malkekøer, tung race Kalve 0-1 mdr.</v>
      </c>
      <c r="L166" s="700">
        <v>359.80033632604847</v>
      </c>
      <c r="M166" s="536">
        <f>L166</f>
        <v>359.80033632604847</v>
      </c>
      <c r="N166" s="16"/>
      <c r="O166" s="16"/>
      <c r="P166" s="16"/>
      <c r="Q166" s="16"/>
      <c r="R166" s="16"/>
      <c r="S166" s="16"/>
      <c r="T166" s="16"/>
      <c r="U166" s="16"/>
      <c r="V166" s="16"/>
      <c r="W166" s="16"/>
      <c r="X166" s="16"/>
      <c r="Y166" s="16"/>
      <c r="Z166" s="16"/>
      <c r="AA166" s="16"/>
      <c r="AB166" s="16"/>
      <c r="AC166" s="278"/>
    </row>
    <row r="167" spans="2:29" x14ac:dyDescent="0.25">
      <c r="G167" s="67" t="str">
        <f t="shared" ref="G167:G177" si="50">B89</f>
        <v>Kalve 0-3 mdr.</v>
      </c>
      <c r="H167" s="500">
        <f>D89*J129*$R$14</f>
        <v>74.693359576762816</v>
      </c>
      <c r="I167" s="501">
        <f>H167</f>
        <v>74.693359576762816</v>
      </c>
      <c r="K167" s="486" t="str">
        <f t="shared" ref="K167:K190" si="51">G167</f>
        <v>Kalve 0-3 mdr.</v>
      </c>
      <c r="L167" s="701">
        <v>706.34097114964902</v>
      </c>
      <c r="M167" s="534">
        <f>L167</f>
        <v>706.34097114964902</v>
      </c>
      <c r="N167" s="16"/>
      <c r="O167" s="16"/>
      <c r="P167" s="16"/>
      <c r="Q167" s="16"/>
      <c r="R167" s="16"/>
      <c r="S167" s="16"/>
      <c r="T167" s="16"/>
      <c r="U167" s="16"/>
      <c r="V167" s="16"/>
      <c r="W167" s="16"/>
      <c r="X167" s="16"/>
      <c r="Y167" s="16"/>
      <c r="Z167" s="16"/>
      <c r="AA167" s="16"/>
      <c r="AB167" s="16"/>
      <c r="AC167" s="278"/>
    </row>
    <row r="168" spans="2:29" x14ac:dyDescent="0.25">
      <c r="G168" s="67" t="str">
        <f t="shared" si="50"/>
        <v>Malkekøer, tung race Kalve 0-6 mdr.</v>
      </c>
      <c r="H168" s="500"/>
      <c r="I168" s="18"/>
      <c r="K168" s="486" t="str">
        <f t="shared" si="51"/>
        <v>Malkekøer, tung race Kalve 0-6 mdr.</v>
      </c>
      <c r="L168" s="701">
        <v>0</v>
      </c>
      <c r="M168" s="534"/>
      <c r="N168" s="16"/>
      <c r="O168" s="16"/>
      <c r="P168" s="16"/>
      <c r="Q168" s="16"/>
      <c r="R168" s="16"/>
      <c r="S168" s="16"/>
      <c r="T168" s="16"/>
      <c r="U168" s="16"/>
      <c r="V168" s="16"/>
      <c r="W168" s="16"/>
      <c r="X168" s="16"/>
      <c r="Y168" s="16"/>
      <c r="Z168" s="16"/>
      <c r="AA168" s="16"/>
      <c r="AB168" s="16"/>
      <c r="AC168" s="278"/>
    </row>
    <row r="169" spans="2:29" x14ac:dyDescent="0.25">
      <c r="G169" s="67" t="str">
        <f t="shared" si="50"/>
        <v>Malkekøer, tung race Kvier u. 18. mdr.</v>
      </c>
      <c r="H169" s="500">
        <f>D91*J131*$R$14</f>
        <v>1548.5570715112638</v>
      </c>
      <c r="I169" s="506">
        <f>H169+$I$167</f>
        <v>1623.2504310880265</v>
      </c>
      <c r="K169" s="486" t="str">
        <f t="shared" si="51"/>
        <v>Malkekøer, tung race Kvier u. 18. mdr.</v>
      </c>
      <c r="L169" s="701">
        <v>997.69144263069063</v>
      </c>
      <c r="M169" s="534">
        <f>L169+$M$167</f>
        <v>1704.0324137803395</v>
      </c>
      <c r="N169" s="16"/>
      <c r="O169" s="16"/>
      <c r="P169" s="16"/>
      <c r="Q169" s="16"/>
      <c r="R169" s="16"/>
      <c r="S169" s="16"/>
      <c r="T169" s="16"/>
      <c r="U169" s="16"/>
      <c r="V169" s="16"/>
      <c r="W169" s="16"/>
      <c r="X169" s="16"/>
      <c r="Y169" s="16"/>
      <c r="Z169" s="16"/>
      <c r="AA169" s="16"/>
      <c r="AB169" s="16"/>
      <c r="AC169" s="278"/>
    </row>
    <row r="170" spans="2:29" x14ac:dyDescent="0.25">
      <c r="G170" s="67" t="str">
        <f t="shared" si="50"/>
        <v>Malkekøer, tung race Kvier o. 18. mdr.</v>
      </c>
      <c r="H170" s="500">
        <f>D92*J132*$R$14</f>
        <v>2963.2607708363475</v>
      </c>
      <c r="I170" s="506">
        <f>H170+$I$167</f>
        <v>3037.9541304131103</v>
      </c>
      <c r="K170" s="486" t="str">
        <f t="shared" si="51"/>
        <v>Malkekøer, tung race Kvier o. 18. mdr.</v>
      </c>
      <c r="L170" s="701">
        <v>1807.5246029251728</v>
      </c>
      <c r="M170" s="534">
        <f>L170+$M$167</f>
        <v>2513.8655740748218</v>
      </c>
      <c r="N170" s="16"/>
      <c r="O170" s="16"/>
      <c r="P170" s="16"/>
      <c r="Q170" s="16"/>
      <c r="R170" s="16"/>
      <c r="S170" s="16"/>
      <c r="T170" s="16"/>
      <c r="U170" s="16"/>
      <c r="V170" s="16"/>
      <c r="W170" s="16"/>
      <c r="X170" s="16"/>
      <c r="Y170" s="16"/>
      <c r="Z170" s="16"/>
      <c r="AA170" s="16"/>
      <c r="AB170" s="16"/>
      <c r="AC170" s="278"/>
    </row>
    <row r="171" spans="2:29" x14ac:dyDescent="0.25">
      <c r="G171" s="67" t="str">
        <f t="shared" si="50"/>
        <v>Malkekøer, tung race Stude</v>
      </c>
      <c r="H171" s="500">
        <f>D93*J133*$R$14</f>
        <v>2806.3220804620701</v>
      </c>
      <c r="I171" s="506">
        <f>H171+$I$167</f>
        <v>2881.0154400388328</v>
      </c>
      <c r="K171" s="486" t="str">
        <f t="shared" si="51"/>
        <v>Malkekøer, tung race Stude</v>
      </c>
      <c r="L171" s="701">
        <v>2170.1819478230477</v>
      </c>
      <c r="M171" s="534">
        <f>L171+$M$167</f>
        <v>2876.522918972697</v>
      </c>
      <c r="N171" s="16"/>
      <c r="O171" s="16"/>
      <c r="P171" s="16"/>
      <c r="Q171" s="16"/>
      <c r="R171" s="16"/>
      <c r="S171" s="16"/>
      <c r="T171" s="16"/>
      <c r="U171" s="16"/>
      <c r="V171" s="16"/>
      <c r="W171" s="16"/>
      <c r="X171" s="16"/>
      <c r="Y171" s="16"/>
      <c r="Z171" s="16"/>
      <c r="AA171" s="16"/>
      <c r="AB171" s="16"/>
      <c r="AC171" s="278"/>
    </row>
    <row r="172" spans="2:29" x14ac:dyDescent="0.25">
      <c r="G172" s="67" t="str">
        <f t="shared" si="50"/>
        <v>Malkekøer, tung race Køer (1year)</v>
      </c>
      <c r="H172" s="500">
        <f>D94*J134*$R$14</f>
        <v>4904.0906036520291</v>
      </c>
      <c r="I172" s="501">
        <f>H172</f>
        <v>4904.0906036520291</v>
      </c>
      <c r="K172" s="486" t="str">
        <f t="shared" si="51"/>
        <v>Malkekøer, tung race Køer (1year)</v>
      </c>
      <c r="L172" s="701">
        <v>3283.902444312153</v>
      </c>
      <c r="M172" s="534">
        <f>L172</f>
        <v>3283.902444312153</v>
      </c>
      <c r="N172" s="16"/>
      <c r="O172" s="16"/>
      <c r="P172" s="16"/>
      <c r="Q172" s="16"/>
      <c r="R172" s="16"/>
      <c r="S172" s="16"/>
      <c r="T172" s="16"/>
      <c r="U172" s="16"/>
      <c r="V172" s="16"/>
      <c r="W172" s="16"/>
      <c r="X172" s="16"/>
      <c r="Y172" s="16"/>
      <c r="Z172" s="16"/>
      <c r="AA172" s="16"/>
      <c r="AB172" s="16"/>
      <c r="AC172" s="278"/>
    </row>
    <row r="173" spans="2:29" x14ac:dyDescent="0.25">
      <c r="G173" s="67" t="str">
        <f t="shared" si="50"/>
        <v>Malkekøer, tung race Tyrekalv 0-1 mdr.</v>
      </c>
      <c r="H173" s="500"/>
      <c r="I173" s="18"/>
      <c r="K173" s="486" t="str">
        <f t="shared" si="51"/>
        <v>Malkekøer, tung race Tyrekalv 0-1 mdr.</v>
      </c>
      <c r="L173" s="701">
        <v>359.80033632604847</v>
      </c>
      <c r="M173" s="534">
        <f>L173</f>
        <v>359.80033632604847</v>
      </c>
      <c r="N173" s="16"/>
      <c r="O173" s="16"/>
      <c r="P173" s="16"/>
      <c r="Q173" s="16"/>
      <c r="R173" s="16"/>
      <c r="S173" s="16"/>
      <c r="T173" s="16"/>
      <c r="U173" s="16"/>
      <c r="V173" s="16"/>
      <c r="W173" s="16"/>
      <c r="X173" s="16"/>
      <c r="Y173" s="16"/>
      <c r="Z173" s="16"/>
      <c r="AA173" s="16"/>
      <c r="AB173" s="16"/>
      <c r="AC173" s="278"/>
    </row>
    <row r="174" spans="2:29" x14ac:dyDescent="0.25">
      <c r="G174" s="67" t="str">
        <f t="shared" si="50"/>
        <v>Tyrekalve 0-3 mdr.</v>
      </c>
      <c r="H174" s="500">
        <f>D96*J136*$R$14</f>
        <v>74.693359576762816</v>
      </c>
      <c r="I174" s="501">
        <f>H174</f>
        <v>74.693359576762816</v>
      </c>
      <c r="K174" s="486" t="str">
        <f t="shared" si="51"/>
        <v>Tyrekalve 0-3 mdr.</v>
      </c>
      <c r="L174" s="701">
        <v>706.34097114964902</v>
      </c>
      <c r="M174" s="534">
        <f>L174</f>
        <v>706.34097114964902</v>
      </c>
      <c r="N174" s="16"/>
      <c r="O174" s="16"/>
      <c r="P174" s="16"/>
      <c r="Q174" s="16"/>
      <c r="R174" s="16"/>
      <c r="S174" s="16"/>
      <c r="T174" s="16"/>
      <c r="U174" s="16"/>
      <c r="V174" s="16"/>
      <c r="W174" s="16"/>
      <c r="X174" s="16"/>
      <c r="Y174" s="16"/>
      <c r="Z174" s="16"/>
      <c r="AA174" s="16"/>
      <c r="AB174" s="16"/>
      <c r="AC174" s="278"/>
    </row>
    <row r="175" spans="2:29" x14ac:dyDescent="0.25">
      <c r="G175" s="67" t="str">
        <f t="shared" si="50"/>
        <v>Malkekøer, tung race Tyrekalve 0-6 mdr.</v>
      </c>
      <c r="H175" s="500"/>
      <c r="I175" s="18"/>
      <c r="K175" s="486" t="str">
        <f t="shared" si="51"/>
        <v>Malkekøer, tung race Tyrekalve 0-6 mdr.</v>
      </c>
      <c r="L175" s="701">
        <v>0</v>
      </c>
      <c r="M175" s="534"/>
      <c r="N175" s="16"/>
      <c r="O175" s="16"/>
      <c r="P175" s="16"/>
      <c r="Q175" s="16"/>
      <c r="R175" s="16"/>
      <c r="S175" s="16"/>
      <c r="T175" s="16"/>
      <c r="U175" s="16"/>
      <c r="V175" s="16"/>
      <c r="W175" s="16"/>
      <c r="X175" s="16"/>
      <c r="Y175" s="16"/>
      <c r="Z175" s="16"/>
      <c r="AA175" s="16"/>
      <c r="AB175" s="16"/>
      <c r="AC175" s="278"/>
    </row>
    <row r="176" spans="2:29" x14ac:dyDescent="0.25">
      <c r="G176" s="67" t="str">
        <f t="shared" si="50"/>
        <v>Malkekøer, tung race Tyre u. 12 mdr.</v>
      </c>
      <c r="H176" s="500">
        <f>D98*J138*$R$14</f>
        <v>614.42162575374186</v>
      </c>
      <c r="I176" s="506">
        <f>H176+$I$174</f>
        <v>689.11498533050462</v>
      </c>
      <c r="K176" s="486" t="str">
        <f t="shared" si="51"/>
        <v>Malkekøer, tung race Tyre u. 12 mdr.</v>
      </c>
      <c r="L176" s="701">
        <v>427.11244747120776</v>
      </c>
      <c r="M176" s="534">
        <f>L176+$M$174</f>
        <v>1133.4534186208568</v>
      </c>
      <c r="N176" s="16"/>
      <c r="O176" s="16"/>
      <c r="P176" s="16"/>
      <c r="Q176" s="16"/>
      <c r="R176" s="16"/>
      <c r="S176" s="16"/>
      <c r="T176" s="16"/>
      <c r="U176" s="16"/>
      <c r="V176" s="16"/>
      <c r="W176" s="16"/>
      <c r="X176" s="16"/>
      <c r="Y176" s="16"/>
      <c r="Z176" s="16"/>
      <c r="AA176" s="16"/>
      <c r="AB176" s="16"/>
      <c r="AC176" s="278"/>
    </row>
    <row r="177" spans="7:29" x14ac:dyDescent="0.25">
      <c r="G177" s="67" t="str">
        <f t="shared" si="50"/>
        <v>Malkekøer, tung race Tyre o. 12 mdr.</v>
      </c>
      <c r="H177" s="500">
        <f>D99*J139*$R$14</f>
        <v>1022.8629566087826</v>
      </c>
      <c r="I177" s="506">
        <f>H177+$I$174</f>
        <v>1097.5563161855455</v>
      </c>
      <c r="K177" s="486" t="str">
        <f t="shared" si="51"/>
        <v>Malkekøer, tung race Tyre o. 12 mdr.</v>
      </c>
      <c r="L177" s="701">
        <v>708.95292352896081</v>
      </c>
      <c r="M177" s="534">
        <f>L177+$M$174</f>
        <v>1415.2938946786098</v>
      </c>
      <c r="N177" s="16"/>
      <c r="O177" s="16"/>
      <c r="P177" s="16"/>
      <c r="Q177" s="16"/>
      <c r="R177" s="16"/>
      <c r="S177" s="16"/>
      <c r="T177" s="16"/>
      <c r="U177" s="16"/>
      <c r="V177" s="16"/>
      <c r="W177" s="16"/>
      <c r="X177" s="16"/>
      <c r="Y177" s="16"/>
      <c r="Z177" s="16"/>
      <c r="AA177" s="16"/>
      <c r="AB177" s="16"/>
      <c r="AC177" s="278"/>
    </row>
    <row r="178" spans="7:29" x14ac:dyDescent="0.25">
      <c r="G178" s="67" t="s">
        <v>331</v>
      </c>
      <c r="H178" s="21"/>
      <c r="I178" s="18"/>
      <c r="K178" s="486" t="str">
        <f t="shared" si="51"/>
        <v/>
      </c>
      <c r="L178" s="702"/>
      <c r="M178" s="330"/>
      <c r="N178" s="16"/>
      <c r="O178" s="16"/>
      <c r="P178" s="16"/>
      <c r="Q178" s="16"/>
      <c r="R178" s="16"/>
      <c r="S178" s="16"/>
      <c r="T178" s="16"/>
      <c r="U178" s="16"/>
      <c r="V178" s="16"/>
      <c r="W178" s="16"/>
      <c r="X178" s="16"/>
      <c r="Y178" s="16"/>
      <c r="Z178" s="16"/>
      <c r="AA178" s="16"/>
      <c r="AB178" s="16"/>
      <c r="AC178" s="278"/>
    </row>
    <row r="179" spans="7:29" x14ac:dyDescent="0.25">
      <c r="G179" s="67" t="str">
        <f>B107</f>
        <v>Malkekøer, jersey Kalve 0-1 mdr.</v>
      </c>
      <c r="H179" s="500">
        <f>D107*J147*$R$14</f>
        <v>0</v>
      </c>
      <c r="I179" s="18"/>
      <c r="K179" s="486" t="str">
        <f t="shared" si="51"/>
        <v>Malkekøer, jersey Kalve 0-1 mdr.</v>
      </c>
      <c r="L179" s="701">
        <v>225.67897657706087</v>
      </c>
      <c r="M179" s="534">
        <f>L179</f>
        <v>225.67897657706087</v>
      </c>
      <c r="N179" s="16"/>
      <c r="O179" s="16"/>
      <c r="P179" s="16"/>
      <c r="Q179" s="16"/>
      <c r="R179" s="16"/>
      <c r="S179" s="16"/>
      <c r="T179" s="16"/>
      <c r="U179" s="16"/>
      <c r="V179" s="16"/>
      <c r="W179" s="16"/>
      <c r="X179" s="16"/>
      <c r="Y179" s="16"/>
      <c r="Z179" s="16"/>
      <c r="AA179" s="16"/>
      <c r="AB179" s="16"/>
      <c r="AC179" s="278"/>
    </row>
    <row r="180" spans="7:29" x14ac:dyDescent="0.25">
      <c r="G180" s="67" t="str">
        <f t="shared" ref="G180:G190" si="52">B108</f>
        <v>Kalve 0-3 mdr.</v>
      </c>
      <c r="H180" s="500">
        <f>D108*J148*$R$14</f>
        <v>93.421864559900499</v>
      </c>
      <c r="I180" s="501">
        <f>H180</f>
        <v>93.421864559900499</v>
      </c>
      <c r="K180" s="486" t="str">
        <f t="shared" si="51"/>
        <v>Kalve 0-3 mdr.</v>
      </c>
      <c r="L180" s="701">
        <v>558.25226666668777</v>
      </c>
      <c r="M180" s="534">
        <f>L180</f>
        <v>558.25226666668777</v>
      </c>
      <c r="N180" s="16"/>
      <c r="O180" s="16"/>
      <c r="P180" s="16"/>
      <c r="Q180" s="16"/>
      <c r="R180" s="16"/>
      <c r="S180" s="16"/>
      <c r="T180" s="16"/>
      <c r="U180" s="16"/>
      <c r="V180" s="16"/>
      <c r="W180" s="16"/>
      <c r="X180" s="16"/>
      <c r="Y180" s="16"/>
      <c r="Z180" s="16"/>
      <c r="AA180" s="16"/>
      <c r="AB180" s="16"/>
      <c r="AC180" s="278"/>
    </row>
    <row r="181" spans="7:29" x14ac:dyDescent="0.25">
      <c r="G181" s="67" t="str">
        <f t="shared" si="52"/>
        <v>Malkekøer, jersey Kalve 0-6 mdr.</v>
      </c>
      <c r="H181" s="500">
        <f t="shared" ref="H181:H190" si="53">D109*J149*$R$14</f>
        <v>0</v>
      </c>
      <c r="I181" s="18"/>
      <c r="K181" s="486" t="str">
        <f t="shared" si="51"/>
        <v>Malkekøer, jersey Kalve 0-6 mdr.</v>
      </c>
      <c r="L181" s="701">
        <v>0</v>
      </c>
      <c r="M181" s="534"/>
      <c r="N181" s="16"/>
      <c r="O181" s="16"/>
      <c r="P181" s="16"/>
      <c r="Q181" s="16"/>
      <c r="R181" s="16"/>
      <c r="S181" s="16"/>
      <c r="T181" s="16"/>
      <c r="U181" s="16"/>
      <c r="V181" s="16"/>
      <c r="W181" s="16"/>
      <c r="X181" s="16"/>
      <c r="Y181" s="16"/>
      <c r="Z181" s="16"/>
      <c r="AA181" s="16"/>
      <c r="AB181" s="16"/>
      <c r="AC181" s="278"/>
    </row>
    <row r="182" spans="7:29" x14ac:dyDescent="0.25">
      <c r="G182" s="67" t="str">
        <f t="shared" si="52"/>
        <v>Malkekøer, jersey Kvier u. 18. mdr.</v>
      </c>
      <c r="H182" s="500">
        <f t="shared" si="53"/>
        <v>999.8436532370838</v>
      </c>
      <c r="I182" s="541">
        <f>H182+$I$180</f>
        <v>1093.2655177969843</v>
      </c>
      <c r="K182" s="486" t="str">
        <f t="shared" si="51"/>
        <v>Malkekøer, jersey Kvier u. 18. mdr.</v>
      </c>
      <c r="L182" s="701">
        <v>617.15744929029881</v>
      </c>
      <c r="M182" s="534">
        <f>L182+$M$167</f>
        <v>1323.4984204399479</v>
      </c>
      <c r="N182" s="16"/>
      <c r="O182" s="16"/>
      <c r="P182" s="16"/>
      <c r="Q182" s="16"/>
      <c r="R182" s="16"/>
      <c r="S182" s="16"/>
      <c r="T182" s="16"/>
      <c r="U182" s="16"/>
      <c r="V182" s="16"/>
      <c r="W182" s="16"/>
      <c r="X182" s="16"/>
      <c r="Y182" s="16"/>
      <c r="Z182" s="16"/>
      <c r="AA182" s="16"/>
      <c r="AB182" s="16"/>
      <c r="AC182" s="278"/>
    </row>
    <row r="183" spans="7:29" x14ac:dyDescent="0.25">
      <c r="G183" s="67" t="str">
        <f t="shared" si="52"/>
        <v>Malkekøer, jersey Kvier o. 18. mdr.</v>
      </c>
      <c r="H183" s="500">
        <f t="shared" si="53"/>
        <v>2300.3869704808935</v>
      </c>
      <c r="I183" s="541">
        <f t="shared" ref="I183:I184" si="54">H183+$I$180</f>
        <v>2393.8088350407938</v>
      </c>
      <c r="K183" s="486" t="str">
        <f t="shared" si="51"/>
        <v>Malkekøer, jersey Kvier o. 18. mdr.</v>
      </c>
      <c r="L183" s="701">
        <v>1367.1648518345391</v>
      </c>
      <c r="M183" s="534">
        <f>L183+$M$167</f>
        <v>2073.5058229841879</v>
      </c>
      <c r="N183" s="16"/>
      <c r="O183" s="16"/>
      <c r="P183" s="16"/>
      <c r="Q183" s="16"/>
      <c r="R183" s="16"/>
      <c r="S183" s="16"/>
      <c r="T183" s="16"/>
      <c r="U183" s="16"/>
      <c r="V183" s="16"/>
      <c r="W183" s="16"/>
      <c r="X183" s="16"/>
      <c r="Y183" s="16"/>
      <c r="Z183" s="16"/>
      <c r="AA183" s="16"/>
      <c r="AB183" s="16"/>
      <c r="AC183" s="278"/>
    </row>
    <row r="184" spans="7:29" x14ac:dyDescent="0.25">
      <c r="G184" s="67" t="str">
        <f t="shared" si="52"/>
        <v>Malkekøer, jersey Stude</v>
      </c>
      <c r="H184" s="500">
        <f t="shared" si="53"/>
        <v>2098.7735168527965</v>
      </c>
      <c r="I184" s="541">
        <f t="shared" si="54"/>
        <v>2192.1953814126969</v>
      </c>
      <c r="K184" s="486" t="str">
        <f t="shared" si="51"/>
        <v>Malkekøer, jersey Stude</v>
      </c>
      <c r="L184" s="701">
        <v>1272.0757271760001</v>
      </c>
      <c r="M184" s="534">
        <f>L184+$M$167</f>
        <v>1978.4166983256491</v>
      </c>
      <c r="N184" s="16"/>
      <c r="O184" s="16"/>
      <c r="P184" s="16"/>
      <c r="Q184" s="16"/>
      <c r="R184" s="16"/>
      <c r="S184" s="16"/>
      <c r="T184" s="16"/>
      <c r="U184" s="16"/>
      <c r="V184" s="16"/>
      <c r="W184" s="16"/>
      <c r="X184" s="16"/>
      <c r="Y184" s="16"/>
      <c r="Z184" s="16"/>
      <c r="AA184" s="16"/>
      <c r="AB184" s="16"/>
      <c r="AC184" s="278"/>
    </row>
    <row r="185" spans="7:29" x14ac:dyDescent="0.25">
      <c r="G185" s="67" t="str">
        <f t="shared" si="52"/>
        <v>Malkekøer, jersey Køer</v>
      </c>
      <c r="H185" s="500">
        <f t="shared" si="53"/>
        <v>4235.3664407469632</v>
      </c>
      <c r="I185" s="501">
        <f>H185</f>
        <v>4235.3664407469632</v>
      </c>
      <c r="K185" s="486" t="str">
        <f t="shared" si="51"/>
        <v>Malkekøer, jersey Køer</v>
      </c>
      <c r="L185" s="701">
        <v>2857.0799629718549</v>
      </c>
      <c r="M185" s="534">
        <f>L185</f>
        <v>2857.0799629718549</v>
      </c>
      <c r="N185" s="16"/>
      <c r="O185" s="16"/>
      <c r="P185" s="16"/>
      <c r="Q185" s="16"/>
      <c r="R185" s="16"/>
      <c r="S185" s="16"/>
      <c r="T185" s="16"/>
      <c r="U185" s="16"/>
      <c r="V185" s="16"/>
      <c r="W185" s="16"/>
      <c r="X185" s="16"/>
      <c r="Y185" s="16"/>
      <c r="Z185" s="16"/>
      <c r="AA185" s="16"/>
      <c r="AB185" s="16"/>
      <c r="AC185" s="278"/>
    </row>
    <row r="186" spans="7:29" x14ac:dyDescent="0.25">
      <c r="G186" s="67" t="str">
        <f t="shared" si="52"/>
        <v>Malkekøer, jersey Tyrekalv 0-1 mdr.</v>
      </c>
      <c r="H186" s="500">
        <f t="shared" si="53"/>
        <v>0</v>
      </c>
      <c r="I186" s="18"/>
      <c r="K186" s="486" t="str">
        <f t="shared" si="51"/>
        <v>Malkekøer, jersey Tyrekalv 0-1 mdr.</v>
      </c>
      <c r="L186" s="701">
        <v>225.67897657706087</v>
      </c>
      <c r="M186" s="534">
        <f>L186</f>
        <v>225.67897657706087</v>
      </c>
      <c r="N186" s="16"/>
      <c r="O186" s="16"/>
      <c r="P186" s="16"/>
      <c r="Q186" s="16"/>
      <c r="R186" s="16"/>
      <c r="S186" s="16"/>
      <c r="T186" s="16"/>
      <c r="U186" s="16"/>
      <c r="V186" s="16"/>
      <c r="W186" s="16"/>
      <c r="X186" s="16"/>
      <c r="Y186" s="16"/>
      <c r="Z186" s="16"/>
      <c r="AA186" s="16"/>
      <c r="AB186" s="16"/>
      <c r="AC186" s="278"/>
    </row>
    <row r="187" spans="7:29" x14ac:dyDescent="0.25">
      <c r="G187" s="67" t="str">
        <f t="shared" si="52"/>
        <v>Tyrekalve 0-3 mdr.</v>
      </c>
      <c r="H187" s="500">
        <f t="shared" si="53"/>
        <v>93.421864559900499</v>
      </c>
      <c r="I187" s="501">
        <f>H187</f>
        <v>93.421864559900499</v>
      </c>
      <c r="K187" s="486" t="str">
        <f t="shared" si="51"/>
        <v>Tyrekalve 0-3 mdr.</v>
      </c>
      <c r="L187" s="701">
        <v>558.25226666668777</v>
      </c>
      <c r="M187" s="534">
        <f>L187</f>
        <v>558.25226666668777</v>
      </c>
      <c r="N187" s="16"/>
      <c r="O187" s="16"/>
      <c r="P187" s="16"/>
      <c r="Q187" s="16"/>
      <c r="R187" s="16"/>
      <c r="S187" s="16"/>
      <c r="T187" s="16"/>
      <c r="U187" s="16"/>
      <c r="V187" s="16"/>
      <c r="W187" s="16"/>
      <c r="X187" s="16"/>
      <c r="Y187" s="16"/>
      <c r="Z187" s="16"/>
      <c r="AA187" s="16"/>
      <c r="AB187" s="16"/>
      <c r="AC187" s="278"/>
    </row>
    <row r="188" spans="7:29" x14ac:dyDescent="0.25">
      <c r="G188" s="67" t="str">
        <f t="shared" si="52"/>
        <v>Malkekøer, jersey Tyrekalv 0-6 mdr.</v>
      </c>
      <c r="H188" s="500">
        <f t="shared" si="53"/>
        <v>0</v>
      </c>
      <c r="I188" s="18"/>
      <c r="K188" s="486" t="str">
        <f t="shared" si="51"/>
        <v>Malkekøer, jersey Tyrekalv 0-6 mdr.</v>
      </c>
      <c r="L188" s="701">
        <v>0</v>
      </c>
      <c r="M188" s="534"/>
      <c r="N188" s="16"/>
      <c r="O188" s="16"/>
      <c r="P188" s="16"/>
      <c r="Q188" s="16"/>
      <c r="R188" s="16"/>
      <c r="S188" s="16"/>
      <c r="T188" s="16"/>
      <c r="U188" s="16"/>
      <c r="V188" s="16"/>
      <c r="W188" s="16"/>
      <c r="X188" s="16"/>
      <c r="Y188" s="16"/>
      <c r="Z188" s="16"/>
      <c r="AA188" s="16"/>
      <c r="AB188" s="16"/>
      <c r="AC188" s="278"/>
    </row>
    <row r="189" spans="7:29" x14ac:dyDescent="0.25">
      <c r="G189" s="67" t="str">
        <f t="shared" si="52"/>
        <v>Malkekøer, jersey Tyre u. 12 mdr.</v>
      </c>
      <c r="H189" s="500">
        <f t="shared" si="53"/>
        <v>423.85331564381983</v>
      </c>
      <c r="I189" s="541">
        <f>H189+$I$187</f>
        <v>517.27518020372031</v>
      </c>
      <c r="K189" s="486" t="str">
        <f t="shared" si="51"/>
        <v>Malkekøer, jersey Tyre u. 12 mdr.</v>
      </c>
      <c r="L189" s="701">
        <v>291.87162691948146</v>
      </c>
      <c r="M189" s="534">
        <f>L189+$M$174</f>
        <v>998.21259806913054</v>
      </c>
      <c r="N189" s="16"/>
      <c r="O189" s="16"/>
      <c r="P189" s="16"/>
      <c r="Q189" s="16"/>
      <c r="R189" s="16"/>
      <c r="S189" s="16"/>
      <c r="T189" s="16"/>
      <c r="U189" s="16"/>
      <c r="V189" s="16"/>
      <c r="W189" s="16"/>
      <c r="X189" s="16"/>
      <c r="Y189" s="16"/>
      <c r="Z189" s="16"/>
      <c r="AA189" s="16"/>
      <c r="AB189" s="16"/>
      <c r="AC189" s="278"/>
    </row>
    <row r="190" spans="7:29" x14ac:dyDescent="0.25">
      <c r="G190" s="67" t="str">
        <f t="shared" si="52"/>
        <v>Malkekøer, jersey Tyre o. 12 mdr.</v>
      </c>
      <c r="H190" s="502">
        <f t="shared" si="53"/>
        <v>1268.6247836233113</v>
      </c>
      <c r="I190" s="542">
        <f>H190+$I$187</f>
        <v>1362.0466481832118</v>
      </c>
      <c r="K190" s="486" t="str">
        <f t="shared" si="51"/>
        <v>Malkekøer, jersey Tyre o. 12 mdr.</v>
      </c>
      <c r="L190" s="703">
        <v>681.7571530867981</v>
      </c>
      <c r="M190" s="537">
        <f>L190+$M$174</f>
        <v>1388.0981242364471</v>
      </c>
      <c r="N190" s="16"/>
      <c r="O190" s="16"/>
      <c r="P190" s="16"/>
      <c r="Q190" s="16"/>
      <c r="R190" s="16"/>
      <c r="S190" s="16"/>
      <c r="T190" s="16"/>
      <c r="U190" s="16"/>
      <c r="V190" s="16"/>
      <c r="W190" s="16"/>
      <c r="X190" s="16"/>
      <c r="Y190" s="16"/>
      <c r="Z190" s="16"/>
      <c r="AA190" s="16"/>
      <c r="AB190" s="16"/>
      <c r="AC190" s="278"/>
    </row>
    <row r="191" spans="7:29" x14ac:dyDescent="0.25">
      <c r="G191" s="5"/>
      <c r="H191" s="5"/>
      <c r="I191" s="5"/>
      <c r="J191" s="5"/>
      <c r="K191" s="5"/>
      <c r="L191" s="72"/>
      <c r="M191" s="72"/>
      <c r="N191" s="16"/>
      <c r="O191" s="16"/>
      <c r="P191" s="16"/>
      <c r="Q191" s="16"/>
      <c r="R191" s="16"/>
      <c r="S191" s="16"/>
      <c r="T191" s="16"/>
      <c r="U191" s="16"/>
      <c r="V191" s="16"/>
      <c r="W191" s="16"/>
      <c r="X191" s="16"/>
      <c r="Y191" s="16"/>
      <c r="Z191" s="16"/>
      <c r="AA191" s="16"/>
      <c r="AB191" s="16"/>
      <c r="AC191" s="278"/>
    </row>
    <row r="192" spans="7:29" x14ac:dyDescent="0.25">
      <c r="M192" s="72"/>
      <c r="N192" s="16"/>
      <c r="O192" s="16"/>
      <c r="P192" s="16"/>
      <c r="Q192" s="16"/>
      <c r="R192" s="16"/>
      <c r="S192" s="16"/>
      <c r="T192" s="16"/>
      <c r="U192" s="16"/>
      <c r="V192" s="16"/>
      <c r="W192" s="16"/>
      <c r="X192" s="16"/>
      <c r="Y192" s="16"/>
      <c r="Z192" s="16"/>
      <c r="AA192" s="16"/>
      <c r="AB192" s="16"/>
      <c r="AC192" s="278"/>
    </row>
    <row r="193" spans="3:29" x14ac:dyDescent="0.25">
      <c r="M193" s="72"/>
      <c r="N193" s="16"/>
      <c r="O193" s="16"/>
      <c r="P193" s="16"/>
      <c r="Q193" s="16"/>
      <c r="R193" s="16"/>
      <c r="S193" s="16"/>
      <c r="T193" s="16"/>
      <c r="U193" s="16"/>
      <c r="V193" s="16"/>
      <c r="W193" s="16"/>
      <c r="X193" s="16"/>
      <c r="Y193" s="16"/>
      <c r="Z193" s="16"/>
      <c r="AA193" s="16"/>
      <c r="AB193" s="16"/>
      <c r="AC193" s="278"/>
    </row>
    <row r="194" spans="3:29" x14ac:dyDescent="0.25">
      <c r="M194" s="72"/>
      <c r="N194" s="16"/>
      <c r="O194" s="16"/>
      <c r="P194" s="16"/>
      <c r="Q194" s="16"/>
      <c r="R194" s="16"/>
      <c r="S194" s="16"/>
      <c r="T194" s="16"/>
      <c r="U194" s="16"/>
      <c r="V194" s="16"/>
      <c r="W194" s="16"/>
      <c r="X194" s="16"/>
      <c r="Y194" s="16"/>
      <c r="Z194" s="16"/>
      <c r="AA194" s="16"/>
      <c r="AB194" s="16"/>
      <c r="AC194" s="278"/>
    </row>
    <row r="195" spans="3:29" x14ac:dyDescent="0.25">
      <c r="C195" s="5"/>
      <c r="D195" s="72"/>
      <c r="E195" s="72"/>
      <c r="F195" s="5"/>
      <c r="M195" s="72"/>
      <c r="N195" s="16"/>
      <c r="O195" s="16"/>
      <c r="P195" s="16"/>
      <c r="Q195" s="16"/>
      <c r="R195" s="16"/>
      <c r="S195" s="16"/>
      <c r="T195" s="16"/>
      <c r="U195" s="16"/>
      <c r="V195" s="16"/>
      <c r="W195" s="16"/>
      <c r="X195" s="16"/>
      <c r="Y195" s="16"/>
      <c r="Z195" s="16"/>
      <c r="AA195" s="16"/>
      <c r="AB195" s="16"/>
      <c r="AC195" s="278"/>
    </row>
    <row r="196" spans="3:29" x14ac:dyDescent="0.25">
      <c r="C196" s="5"/>
      <c r="D196" s="72"/>
      <c r="E196" s="72"/>
      <c r="F196" s="5"/>
      <c r="M196" s="72"/>
      <c r="N196" s="16"/>
      <c r="O196" s="16"/>
      <c r="P196" s="16"/>
      <c r="Q196" s="16"/>
      <c r="R196" s="16"/>
      <c r="S196" s="16"/>
      <c r="T196" s="16"/>
      <c r="U196" s="16"/>
      <c r="V196" s="16"/>
      <c r="W196" s="16"/>
      <c r="X196" s="16"/>
      <c r="Y196" s="16"/>
      <c r="Z196" s="16"/>
      <c r="AA196" s="16"/>
      <c r="AB196" s="16"/>
      <c r="AC196" s="278"/>
    </row>
    <row r="197" spans="3:29" x14ac:dyDescent="0.25">
      <c r="C197" s="5"/>
      <c r="D197" s="214"/>
      <c r="E197" s="214"/>
      <c r="F197" s="5"/>
      <c r="K197" s="278"/>
      <c r="L197" s="278"/>
      <c r="M197" s="345"/>
      <c r="N197" s="16"/>
      <c r="O197" s="16"/>
      <c r="P197" s="16"/>
      <c r="Q197" s="16"/>
      <c r="R197" s="16"/>
      <c r="S197" s="16"/>
      <c r="T197" s="16"/>
      <c r="U197" s="16"/>
      <c r="V197" s="16"/>
      <c r="W197" s="16"/>
      <c r="X197" s="16"/>
      <c r="Y197" s="16"/>
      <c r="Z197" s="16"/>
      <c r="AA197" s="16"/>
      <c r="AB197" s="16"/>
      <c r="AC197" s="278"/>
    </row>
    <row r="198" spans="3:29" x14ac:dyDescent="0.25">
      <c r="C198" s="5"/>
      <c r="D198" s="5"/>
      <c r="E198" s="5"/>
      <c r="F198" s="5"/>
      <c r="M198" s="72"/>
      <c r="N198" s="16"/>
      <c r="O198" s="16"/>
      <c r="P198" s="16"/>
      <c r="Q198" s="16"/>
      <c r="R198" s="16"/>
      <c r="S198" s="16"/>
      <c r="T198" s="16"/>
      <c r="U198" s="16"/>
      <c r="V198" s="16"/>
      <c r="W198" s="16"/>
      <c r="X198" s="16"/>
      <c r="Y198" s="16"/>
      <c r="Z198" s="16"/>
      <c r="AA198" s="16"/>
      <c r="AB198" s="16"/>
    </row>
    <row r="199" spans="3:29" x14ac:dyDescent="0.25">
      <c r="C199" s="5"/>
      <c r="D199" s="375"/>
      <c r="E199" s="375"/>
      <c r="F199" s="5"/>
      <c r="M199" s="72"/>
      <c r="N199" s="16"/>
      <c r="O199" s="16"/>
      <c r="P199" s="16"/>
      <c r="Q199" s="16"/>
      <c r="R199" s="16"/>
      <c r="S199" s="16"/>
      <c r="T199" s="16"/>
      <c r="U199" s="16"/>
      <c r="V199" s="16"/>
      <c r="W199" s="16"/>
      <c r="X199" s="16"/>
      <c r="Y199" s="16"/>
      <c r="Z199" s="16"/>
      <c r="AA199" s="16"/>
      <c r="AB199" s="16"/>
    </row>
    <row r="200" spans="3:29" x14ac:dyDescent="0.25">
      <c r="C200" s="5"/>
      <c r="D200" s="5"/>
      <c r="E200" s="5"/>
      <c r="F200" s="5"/>
      <c r="M200" s="72"/>
      <c r="N200" s="16"/>
      <c r="O200" s="16"/>
      <c r="P200" s="16"/>
      <c r="Q200" s="16"/>
      <c r="R200" s="16"/>
      <c r="S200" s="16"/>
      <c r="T200" s="16"/>
      <c r="U200" s="16"/>
      <c r="V200" s="16"/>
      <c r="W200" s="16"/>
      <c r="X200" s="16"/>
      <c r="Y200" s="16"/>
      <c r="Z200" s="16"/>
      <c r="AA200" s="16"/>
      <c r="AB200" s="16"/>
    </row>
    <row r="201" spans="3:29" x14ac:dyDescent="0.25">
      <c r="C201" s="5"/>
      <c r="D201" s="5"/>
      <c r="E201" s="5"/>
      <c r="F201" s="5"/>
      <c r="M201" s="72"/>
      <c r="N201" s="16"/>
      <c r="O201" s="16"/>
      <c r="P201" s="16"/>
      <c r="Q201" s="16"/>
      <c r="R201" s="16"/>
      <c r="S201" s="16"/>
      <c r="T201" s="16"/>
      <c r="U201" s="16"/>
      <c r="V201" s="16"/>
      <c r="W201" s="16"/>
      <c r="X201" s="16"/>
      <c r="Y201" s="16"/>
      <c r="Z201" s="16"/>
      <c r="AA201" s="16"/>
      <c r="AB201" s="16"/>
    </row>
    <row r="202" spans="3:29" x14ac:dyDescent="0.25">
      <c r="C202" s="5"/>
      <c r="D202" s="5"/>
      <c r="E202" s="5"/>
      <c r="F202" s="5"/>
      <c r="M202" s="72"/>
      <c r="N202" s="5"/>
      <c r="O202" s="5"/>
      <c r="P202" s="5"/>
      <c r="Q202" s="5"/>
      <c r="R202" s="5"/>
      <c r="S202" s="5"/>
      <c r="T202" s="5"/>
      <c r="U202" s="5"/>
      <c r="V202" s="5"/>
      <c r="W202" s="5"/>
      <c r="X202" s="5"/>
      <c r="Y202" s="5"/>
      <c r="Z202" s="5"/>
      <c r="AA202" s="5"/>
      <c r="AB202" s="5"/>
    </row>
    <row r="203" spans="3:29" x14ac:dyDescent="0.25">
      <c r="C203" s="5"/>
      <c r="D203" s="5"/>
      <c r="E203" s="5"/>
      <c r="F203" s="5"/>
    </row>
    <row r="204" spans="3:29" x14ac:dyDescent="0.25">
      <c r="C204" s="5"/>
      <c r="D204" s="5"/>
      <c r="E204" s="5"/>
      <c r="F204" s="5"/>
    </row>
    <row r="205" spans="3:29" x14ac:dyDescent="0.25">
      <c r="C205" s="5"/>
      <c r="D205" s="375"/>
      <c r="E205" s="375"/>
      <c r="F205" s="5"/>
    </row>
    <row r="206" spans="3:29" x14ac:dyDescent="0.25">
      <c r="C206" s="5"/>
      <c r="D206" s="5"/>
      <c r="E206" s="5"/>
      <c r="F206" s="5"/>
    </row>
    <row r="207" spans="3:29" x14ac:dyDescent="0.25">
      <c r="C207" s="5"/>
      <c r="D207" s="5"/>
      <c r="E207" s="5"/>
      <c r="F207" s="5"/>
    </row>
    <row r="208" spans="3:29" x14ac:dyDescent="0.25">
      <c r="C208" s="5"/>
      <c r="D208" s="72"/>
      <c r="E208" s="72"/>
      <c r="F208" s="5"/>
      <c r="G208" s="345"/>
      <c r="H208" s="425"/>
      <c r="I208" s="425"/>
    </row>
    <row r="209" spans="2:9" x14ac:dyDescent="0.25">
      <c r="H209" s="39"/>
      <c r="I209" s="39"/>
    </row>
    <row r="211" spans="2:9" x14ac:dyDescent="0.25">
      <c r="B211" s="7"/>
      <c r="C211" s="274"/>
      <c r="D211" s="7"/>
      <c r="E211" s="7"/>
      <c r="F211" s="7"/>
      <c r="G211" s="7"/>
    </row>
    <row r="212" spans="2:9" x14ac:dyDescent="0.25">
      <c r="B212" s="7"/>
      <c r="C212" s="7"/>
      <c r="D212" s="418"/>
      <c r="E212" s="418"/>
      <c r="F212" s="7"/>
      <c r="G212" s="7"/>
    </row>
    <row r="213" spans="2:9" x14ac:dyDescent="0.25">
      <c r="B213" s="7"/>
      <c r="C213" s="7"/>
      <c r="D213" s="418"/>
      <c r="E213" s="418"/>
      <c r="F213" s="7"/>
      <c r="G213" s="7"/>
    </row>
    <row r="214" spans="2:9" x14ac:dyDescent="0.25">
      <c r="B214" s="7"/>
      <c r="C214" s="7"/>
      <c r="D214" s="418"/>
      <c r="E214" s="418"/>
      <c r="F214" s="7"/>
      <c r="G214" s="7"/>
    </row>
    <row r="215" spans="2:9" x14ac:dyDescent="0.25">
      <c r="B215" s="7"/>
      <c r="C215" s="7"/>
      <c r="D215" s="423"/>
      <c r="E215" s="423"/>
      <c r="F215" s="7"/>
      <c r="G215" s="7"/>
    </row>
    <row r="216" spans="2:9" x14ac:dyDescent="0.25">
      <c r="B216" s="7"/>
      <c r="C216" s="7"/>
      <c r="D216" s="423"/>
      <c r="E216" s="423"/>
      <c r="F216" s="7"/>
      <c r="G216" s="7"/>
    </row>
    <row r="217" spans="2:9" x14ac:dyDescent="0.25">
      <c r="B217" s="7"/>
      <c r="C217" s="7"/>
      <c r="D217" s="423"/>
      <c r="E217" s="423"/>
      <c r="F217" s="7"/>
      <c r="G217" s="7"/>
    </row>
    <row r="218" spans="2:9" x14ac:dyDescent="0.25">
      <c r="B218" s="7"/>
      <c r="C218" s="7"/>
      <c r="D218" s="423"/>
      <c r="E218" s="423"/>
      <c r="F218" s="7"/>
      <c r="G218" s="7"/>
    </row>
    <row r="219" spans="2:9" x14ac:dyDescent="0.25">
      <c r="B219" s="7"/>
      <c r="C219" s="7"/>
      <c r="D219" s="423"/>
      <c r="E219" s="423"/>
      <c r="F219" s="7"/>
      <c r="G219" s="7"/>
    </row>
    <row r="220" spans="2:9" x14ac:dyDescent="0.25">
      <c r="B220" s="7"/>
      <c r="C220" s="7"/>
      <c r="D220" s="423"/>
      <c r="E220" s="423"/>
      <c r="F220" s="7"/>
      <c r="G220" s="7"/>
    </row>
    <row r="221" spans="2:9" x14ac:dyDescent="0.25">
      <c r="B221" s="7"/>
      <c r="C221" s="7"/>
      <c r="D221" s="423"/>
      <c r="E221" s="423"/>
      <c r="F221" s="7"/>
      <c r="G221" s="7"/>
    </row>
    <row r="222" spans="2:9" x14ac:dyDescent="0.25">
      <c r="B222" s="7"/>
      <c r="C222" s="7"/>
      <c r="D222" s="423"/>
      <c r="E222" s="423"/>
      <c r="F222" s="7"/>
      <c r="G222" s="7"/>
    </row>
    <row r="223" spans="2:9" x14ac:dyDescent="0.25">
      <c r="B223" s="7"/>
      <c r="C223" s="7"/>
      <c r="D223" s="423"/>
      <c r="E223" s="423"/>
      <c r="F223" s="7"/>
      <c r="G223" s="7"/>
    </row>
    <row r="224" spans="2:9" x14ac:dyDescent="0.25">
      <c r="B224" s="7"/>
      <c r="C224" s="7"/>
      <c r="D224" s="423"/>
      <c r="E224" s="423"/>
      <c r="F224" s="7"/>
      <c r="G224" s="7"/>
    </row>
    <row r="225" spans="2:7" x14ac:dyDescent="0.25">
      <c r="B225" s="7"/>
      <c r="C225" s="7"/>
      <c r="D225" s="418"/>
      <c r="E225" s="418"/>
      <c r="F225" s="7"/>
      <c r="G225" s="7"/>
    </row>
    <row r="226" spans="2:7" x14ac:dyDescent="0.25">
      <c r="B226" s="7"/>
      <c r="C226" s="7"/>
      <c r="D226" s="7"/>
      <c r="E226" s="7"/>
      <c r="F226" s="7"/>
      <c r="G226" s="7"/>
    </row>
  </sheetData>
  <sheetProtection algorithmName="SHA-512" hashValue="X7+EzIm0q/3JmneAjNlT0p8RfTri2Jvlbn9rAD5mVwmwHkfkF7SIh37zBvDhthzyvm2vJuO20Qw3bsIoEwTS9A==" saltValue="vun20M59SshDCjGDT1SuBA==" spinCount="100000" sheet="1" objects="1" scenarios="1"/>
  <conditionalFormatting sqref="B2:U30">
    <cfRule type="cellIs" dxfId="0" priority="1" operator="equal">
      <formula>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72EBE1F1-F7EC-48C1-A820-77B294D9171A}">
          <x14:formula1>
            <xm:f>'CH4_enterisk, formulas'!$C$18:$C$23</xm:f>
          </x14:formula1>
          <xm:sqref>C103:C104 C122:C123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575A9-8640-4777-8CD4-A6F8F2EF4D41}">
  <sheetPr>
    <tabColor theme="6"/>
  </sheetPr>
  <dimension ref="A1:Z145"/>
  <sheetViews>
    <sheetView zoomScale="55" zoomScaleNormal="55" workbookViewId="0">
      <selection activeCell="B78" sqref="B78"/>
    </sheetView>
  </sheetViews>
  <sheetFormatPr defaultRowHeight="15" x14ac:dyDescent="0.25"/>
  <cols>
    <col min="1" max="1" width="41.85546875" customWidth="1"/>
    <col min="2" max="2" width="34.28515625" customWidth="1"/>
    <col min="3" max="5" width="21.7109375" customWidth="1"/>
    <col min="6" max="6" width="37.140625" bestFit="1" customWidth="1"/>
    <col min="7" max="7" width="32.140625" customWidth="1"/>
    <col min="8" max="8" width="13.85546875" bestFit="1" customWidth="1"/>
    <col min="9" max="9" width="48.85546875" customWidth="1"/>
    <col min="10" max="10" width="21.28515625" customWidth="1"/>
    <col min="11" max="11" width="18.85546875" customWidth="1"/>
    <col min="12" max="12" width="11.140625" customWidth="1"/>
    <col min="13" max="13" width="25.140625" customWidth="1"/>
    <col min="15" max="15" width="13.85546875" bestFit="1" customWidth="1"/>
    <col min="16" max="16" width="18.140625" bestFit="1" customWidth="1"/>
    <col min="17" max="17" width="45.42578125" customWidth="1"/>
    <col min="18" max="18" width="16.42578125" customWidth="1"/>
    <col min="19" max="19" width="17" customWidth="1"/>
    <col min="20" max="20" width="16.42578125" customWidth="1"/>
    <col min="21" max="21" width="18.7109375" customWidth="1"/>
  </cols>
  <sheetData>
    <row r="1" spans="1:22" s="12" customFormat="1" x14ac:dyDescent="0.25">
      <c r="A1" s="12" t="str">
        <f>IF('CH4_Gylle_Stald&amp;Lager'!AU35="","",'CH4_Gylle_Stald&amp;Lager'!AU35)</f>
        <v xml:space="preserve">CO2eq from CH4 - afgræsning, stald og lager incl. Anaerobic Digestion </v>
      </c>
      <c r="G1" s="12" t="str">
        <f>IF('N2O_Gylle_Stald&amp;Lager'!BF36="","",'N2O_Gylle_Stald&amp;Lager'!BF36)</f>
        <v xml:space="preserve">CO2eq from N2O - afgræsning, stald og lager incl. Anaerobic Digestion </v>
      </c>
      <c r="M1" s="12" t="str">
        <f>IF('EntericFer &amp; FeedCultiv'!G162="","",'EntericFer &amp; FeedCultiv'!G162)</f>
        <v>Enteric fermentation</v>
      </c>
      <c r="N1" s="12" t="str">
        <f>IF('EntericFer &amp; FeedCultiv'!D194="","",'EntericFer &amp; FeedCultiv'!D194)</f>
        <v/>
      </c>
      <c r="O1" s="12" t="str">
        <f>IF('EntericFer &amp; FeedCultiv'!E194="","",'EntericFer &amp; FeedCultiv'!E194)</f>
        <v/>
      </c>
      <c r="P1" s="12" t="str">
        <f>IF('EntericFer &amp; FeedCultiv'!F194="","",'EntericFer &amp; FeedCultiv'!F194)</f>
        <v/>
      </c>
      <c r="Q1" s="12" t="str">
        <f>IF('EntericFer &amp; FeedCultiv'!K162="","",'EntericFer &amp; FeedCultiv'!K162)</f>
        <v>kg CO2eq / animal feed intake /day</v>
      </c>
      <c r="R1" s="12" t="str">
        <f>IF('EntericFer &amp; FeedCultiv'!L162="","",'EntericFer &amp; FeedCultiv'!L162)</f>
        <v/>
      </c>
      <c r="S1" s="12" t="str">
        <f>IF('EntericFer &amp; FeedCultiv'!M162="","",'EntericFer &amp; FeedCultiv'!M162)</f>
        <v/>
      </c>
    </row>
    <row r="2" spans="1:22" s="5" customFormat="1" x14ac:dyDescent="0.25">
      <c r="A2" s="5" t="str">
        <f>IF('CH4_Gylle_Stald&amp;Lager'!AU36="","",'CH4_Gylle_Stald&amp;Lager'!AU36)</f>
        <v/>
      </c>
      <c r="B2" s="5" t="str">
        <f>IF('CH4_Gylle_Stald&amp;Lager'!AV36="","",'CH4_Gylle_Stald&amp;Lager'!AV36)</f>
        <v>partial</v>
      </c>
      <c r="C2" s="5" t="str">
        <f>IF('CH4_Gylle_Stald&amp;Lager'!AW36="","",'CH4_Gylle_Stald&amp;Lager'!AW36)</f>
        <v/>
      </c>
      <c r="D2" s="5" t="str">
        <f>IF('CH4_Gylle_Stald&amp;Lager'!AX36="","",'CH4_Gylle_Stald&amp;Lager'!AX36)</f>
        <v/>
      </c>
      <c r="E2" s="5" t="str">
        <f>IF('CH4_Gylle_Stald&amp;Lager'!AY36="","",'CH4_Gylle_Stald&amp;Lager'!AY36)</f>
        <v>SUM per animal</v>
      </c>
      <c r="G2" s="5" t="str">
        <f>IF('N2O_Gylle_Stald&amp;Lager'!BF37="","",'N2O_Gylle_Stald&amp;Lager'!BF37)</f>
        <v/>
      </c>
      <c r="H2" s="5" t="str">
        <f>IF('N2O_Gylle_Stald&amp;Lager'!BG37="","",'N2O_Gylle_Stald&amp;Lager'!BG37)</f>
        <v>partial</v>
      </c>
      <c r="I2" s="5" t="str">
        <f>IF('N2O_Gylle_Stald&amp;Lager'!BH37="","",'N2O_Gylle_Stald&amp;Lager'!BH37)</f>
        <v/>
      </c>
      <c r="J2" s="5" t="str">
        <f>IF('N2O_Gylle_Stald&amp;Lager'!BI37="","",'N2O_Gylle_Stald&amp;Lager'!BI37)</f>
        <v/>
      </c>
      <c r="K2" s="5" t="str">
        <f>IF('N2O_Gylle_Stald&amp;Lager'!BJ37="","",'N2O_Gylle_Stald&amp;Lager'!BJ37)</f>
        <v>SUM per animal</v>
      </c>
      <c r="M2" s="5" t="str">
        <f>IF('EntericFer &amp; FeedCultiv'!C195="","",'EntericFer &amp; FeedCultiv'!C195)</f>
        <v/>
      </c>
      <c r="N2" s="5" t="str">
        <f>IF('EntericFer &amp; FeedCultiv'!D195="","",'EntericFer &amp; FeedCultiv'!D195)</f>
        <v/>
      </c>
      <c r="O2" s="5" t="str">
        <f>IF('EntericFer &amp; FeedCultiv'!E195="","",'EntericFer &amp; FeedCultiv'!E195)</f>
        <v/>
      </c>
      <c r="P2" s="5" t="str">
        <f>IF('EntericFer &amp; FeedCultiv'!F195="","",'EntericFer &amp; FeedCultiv'!F195)</f>
        <v/>
      </c>
      <c r="Q2" s="5" t="str">
        <f>IF('EntericFer &amp; FeedCultiv'!K163="","",'EntericFer &amp; FeedCultiv'!K163)</f>
        <v/>
      </c>
      <c r="R2" s="5" t="str">
        <f>IF('EntericFer &amp; FeedCultiv'!L163="","",'EntericFer &amp; FeedCultiv'!L163)</f>
        <v>partial</v>
      </c>
      <c r="S2" s="5" t="str">
        <f>IF('EntericFer &amp; FeedCultiv'!M163="","",'EntericFer &amp; FeedCultiv'!M163)</f>
        <v>SUM per animal</v>
      </c>
      <c r="T2" s="44"/>
      <c r="U2" s="51"/>
      <c r="V2" s="51"/>
    </row>
    <row r="3" spans="1:22" s="5" customFormat="1" x14ac:dyDescent="0.25">
      <c r="A3" s="5" t="str">
        <f>IF('CH4_Gylle_Stald&amp;Lager'!AU37="","",'CH4_Gylle_Stald&amp;Lager'!AU37)</f>
        <v/>
      </c>
      <c r="B3" s="5" t="str">
        <f>IF('CH4_Gylle_Stald&amp;Lager'!AV37="","",'CH4_Gylle_Stald&amp;Lager'!AV37)</f>
        <v>grazing</v>
      </c>
      <c r="C3" s="5" t="str">
        <f>IF('CH4_Gylle_Stald&amp;Lager'!AW37="","",'CH4_Gylle_Stald&amp;Lager'!AW37)</f>
        <v>housing</v>
      </c>
      <c r="D3" s="5" t="str">
        <f>IF('CH4_Gylle_Stald&amp;Lager'!AX37="","",'CH4_Gylle_Stald&amp;Lager'!AX37)</f>
        <v>manure tank</v>
      </c>
      <c r="E3" s="5" t="str">
        <f>IF('CH4_Gylle_Stald&amp;Lager'!AY37="","",'CH4_Gylle_Stald&amp;Lager'!AY37)</f>
        <v/>
      </c>
      <c r="G3" s="5" t="str">
        <f>IF('N2O_Gylle_Stald&amp;Lager'!BF38="","",'N2O_Gylle_Stald&amp;Lager'!BF38)</f>
        <v/>
      </c>
      <c r="H3" s="5" t="str">
        <f>IF('N2O_Gylle_Stald&amp;Lager'!BG38="","",'N2O_Gylle_Stald&amp;Lager'!BG38)</f>
        <v>grazing</v>
      </c>
      <c r="I3" s="5" t="str">
        <f>IF('N2O_Gylle_Stald&amp;Lager'!BH38="","",'N2O_Gylle_Stald&amp;Lager'!BH38)</f>
        <v>housing</v>
      </c>
      <c r="J3" s="5" t="str">
        <f>IF('N2O_Gylle_Stald&amp;Lager'!BI38="","",'N2O_Gylle_Stald&amp;Lager'!BI38)</f>
        <v>manure tank</v>
      </c>
      <c r="K3" s="5" t="str">
        <f>IF('N2O_Gylle_Stald&amp;Lager'!BJ38="","",'N2O_Gylle_Stald&amp;Lager'!BJ38)</f>
        <v/>
      </c>
      <c r="M3" s="5" t="str">
        <f>IF('EntericFer &amp; FeedCultiv'!C196="","",'EntericFer &amp; FeedCultiv'!C196)</f>
        <v/>
      </c>
      <c r="N3" s="5" t="str">
        <f>IF('EntericFer &amp; FeedCultiv'!D196="","",'EntericFer &amp; FeedCultiv'!D196)</f>
        <v/>
      </c>
      <c r="O3" s="5" t="str">
        <f>IF('EntericFer &amp; FeedCultiv'!E196="","",'EntericFer &amp; FeedCultiv'!E196)</f>
        <v/>
      </c>
      <c r="P3" s="5" t="str">
        <f>IF('EntericFer &amp; FeedCultiv'!F196="","",'EntericFer &amp; FeedCultiv'!F196)</f>
        <v/>
      </c>
      <c r="Q3" s="5" t="str">
        <f>IF('EntericFer &amp; FeedCultiv'!K164="","",'EntericFer &amp; FeedCultiv'!K164)</f>
        <v/>
      </c>
      <c r="R3" s="5" t="str">
        <f>IF('EntericFer &amp; FeedCultiv'!L164="","",'EntericFer &amp; FeedCultiv'!L164)</f>
        <v/>
      </c>
      <c r="S3" s="5" t="str">
        <f>IF('EntericFer &amp; FeedCultiv'!M164="","",'EntericFer &amp; FeedCultiv'!M164)</f>
        <v/>
      </c>
      <c r="T3" s="44"/>
      <c r="U3" s="51"/>
      <c r="V3" s="51"/>
    </row>
    <row r="4" spans="1:22" s="5" customFormat="1" x14ac:dyDescent="0.25">
      <c r="A4" s="5" t="str">
        <f>IF('CH4_Gylle_Stald&amp;Lager'!AU38="","",'CH4_Gylle_Stald&amp;Lager'!AU38)</f>
        <v/>
      </c>
      <c r="B4" s="5" t="str">
        <f>IF('CH4_Gylle_Stald&amp;Lager'!AV38="","",'CH4_Gylle_Stald&amp;Lager'!AV38)</f>
        <v>kg CO2eq / animal lifetime</v>
      </c>
      <c r="C4" s="5" t="str">
        <f>IF('CH4_Gylle_Stald&amp;Lager'!AW38="","",'CH4_Gylle_Stald&amp;Lager'!AW38)</f>
        <v/>
      </c>
      <c r="D4" s="5" t="str">
        <f>IF('CH4_Gylle_Stald&amp;Lager'!AX38="","",'CH4_Gylle_Stald&amp;Lager'!AX38)</f>
        <v/>
      </c>
      <c r="E4" s="5" t="str">
        <f>IF('CH4_Gylle_Stald&amp;Lager'!AY38="","",'CH4_Gylle_Stald&amp;Lager'!AY38)</f>
        <v>kg CO2eq /  animal lifetime</v>
      </c>
      <c r="G4" s="5" t="str">
        <f>IF('N2O_Gylle_Stald&amp;Lager'!BF39="","",'N2O_Gylle_Stald&amp;Lager'!BF39)</f>
        <v/>
      </c>
      <c r="H4" s="5" t="str">
        <f>IF('N2O_Gylle_Stald&amp;Lager'!BG39="","",'N2O_Gylle_Stald&amp;Lager'!BG39)</f>
        <v>kg CO2eq /  animal lifetime</v>
      </c>
      <c r="I4" s="5" t="str">
        <f>IF('N2O_Gylle_Stald&amp;Lager'!BH39="","",'N2O_Gylle_Stald&amp;Lager'!BH39)</f>
        <v/>
      </c>
      <c r="J4" s="5" t="str">
        <f>IF('N2O_Gylle_Stald&amp;Lager'!BI39="","",'N2O_Gylle_Stald&amp;Lager'!BI39)</f>
        <v/>
      </c>
      <c r="K4" s="5" t="str">
        <f>IF('N2O_Gylle_Stald&amp;Lager'!BJ39="","",'N2O_Gylle_Stald&amp;Lager'!BJ39)</f>
        <v>kg CO2eq /  animal lifetime</v>
      </c>
      <c r="M4" s="5" t="str">
        <f>IF('EntericFer &amp; FeedCultiv'!C197="","",'EntericFer &amp; FeedCultiv'!C197)</f>
        <v/>
      </c>
      <c r="N4" s="5" t="str">
        <f>IF('EntericFer &amp; FeedCultiv'!D197="","",'EntericFer &amp; FeedCultiv'!D197)</f>
        <v/>
      </c>
      <c r="O4" s="5" t="str">
        <f>IF('EntericFer &amp; FeedCultiv'!E197="","",'EntericFer &amp; FeedCultiv'!E197)</f>
        <v/>
      </c>
      <c r="P4" s="5" t="str">
        <f>IF('EntericFer &amp; FeedCultiv'!F197="","",'EntericFer &amp; FeedCultiv'!F197)</f>
        <v/>
      </c>
      <c r="Q4" s="5" t="str">
        <f>IF('EntericFer &amp; FeedCultiv'!K165="","",'EntericFer &amp; FeedCultiv'!K165)</f>
        <v/>
      </c>
      <c r="R4" s="5" t="str">
        <f>IF('EntericFer &amp; FeedCultiv'!L165="","",'EntericFer &amp; FeedCultiv'!L165)</f>
        <v>kg CO2eq / lifetime</v>
      </c>
      <c r="S4" s="5" t="str">
        <f>IF('EntericFer &amp; FeedCultiv'!M165="","",'EntericFer &amp; FeedCultiv'!M165)</f>
        <v>kg CO2eq / lifetime</v>
      </c>
      <c r="T4" s="44"/>
      <c r="U4" s="51"/>
      <c r="V4" s="51"/>
    </row>
    <row r="5" spans="1:22" s="5" customFormat="1" x14ac:dyDescent="0.25">
      <c r="A5" s="5" t="str">
        <f>IF('CH4_Gylle_Stald&amp;Lager'!AU39="","",'CH4_Gylle_Stald&amp;Lager'!AU39)</f>
        <v>Malkekøer, tung race Kalve 0-1 mdr</v>
      </c>
      <c r="B5" s="19">
        <f>IF('CH4_Gylle_Stald&amp;Lager'!AV39="","",'CH4_Gylle_Stald&amp;Lager'!AV39)</f>
        <v>0</v>
      </c>
      <c r="C5" s="19">
        <f>IF('CH4_Gylle_Stald&amp;Lager'!AW39="","",'CH4_Gylle_Stald&amp;Lager'!AW39)</f>
        <v>203.20258416107868</v>
      </c>
      <c r="D5" s="19">
        <f>IF('CH4_Gylle_Stald&amp;Lager'!AX39="","",'CH4_Gylle_Stald&amp;Lager'!AX39)</f>
        <v>203.20258416107868</v>
      </c>
      <c r="E5" s="19">
        <f>IF('CH4_Gylle_Stald&amp;Lager'!AY39="","",'CH4_Gylle_Stald&amp;Lager'!AY39)</f>
        <v>406.40516832215735</v>
      </c>
      <c r="F5" s="19"/>
      <c r="G5" s="19" t="str">
        <f>IF('N2O_Gylle_Stald&amp;Lager'!BF40="","",'N2O_Gylle_Stald&amp;Lager'!BF40)</f>
        <v>Malkekøer, tung race Kalve 0-1 mdr</v>
      </c>
      <c r="H5" s="19" t="str">
        <f>IF('N2O_Gylle_Stald&amp;Lager'!BG40="","",'N2O_Gylle_Stald&amp;Lager'!BG40)</f>
        <v/>
      </c>
      <c r="I5" s="19">
        <f>IF('N2O_Gylle_Stald&amp;Lager'!BH40="","",'N2O_Gylle_Stald&amp;Lager'!BH40)</f>
        <v>5.8080550556962027</v>
      </c>
      <c r="J5" s="19">
        <f>IF('N2O_Gylle_Stald&amp;Lager'!BI40="","",'N2O_Gylle_Stald&amp;Lager'!BI40)</f>
        <v>31.847501888734172</v>
      </c>
      <c r="K5" s="19">
        <f>IF('N2O_Gylle_Stald&amp;Lager'!BJ40="","",'N2O_Gylle_Stald&amp;Lager'!BJ40)</f>
        <v>37.655556944430373</v>
      </c>
      <c r="M5" s="5" t="str">
        <f>IF('EntericFer &amp; FeedCultiv'!G166="","",'EntericFer &amp; FeedCultiv'!G166)</f>
        <v>Malkekøer, tung race Kalve 0-1 mdr.</v>
      </c>
      <c r="N5" s="87" t="str">
        <f>IF('EntericFer &amp; FeedCultiv'!H166="","",'EntericFer &amp; FeedCultiv'!H166)</f>
        <v/>
      </c>
      <c r="O5" s="87" t="str">
        <f>IF('EntericFer &amp; FeedCultiv'!I166="","",'EntericFer &amp; FeedCultiv'!I166)</f>
        <v/>
      </c>
      <c r="P5" s="87"/>
      <c r="Q5" s="87" t="str">
        <f>IF('EntericFer &amp; FeedCultiv'!K166="","",'EntericFer &amp; FeedCultiv'!K166)</f>
        <v>Malkekøer, tung race Kalve 0-1 mdr.</v>
      </c>
      <c r="R5" s="87">
        <f>IF('EntericFer &amp; FeedCultiv'!L166="","",'EntericFer &amp; FeedCultiv'!L166)</f>
        <v>359.80033632604847</v>
      </c>
      <c r="S5" s="87">
        <f>IF('EntericFer &amp; FeedCultiv'!M166="","",'EntericFer &amp; FeedCultiv'!M166)</f>
        <v>359.80033632604847</v>
      </c>
      <c r="T5" s="44"/>
      <c r="U5" s="51"/>
      <c r="V5" s="51"/>
    </row>
    <row r="6" spans="1:22" s="5" customFormat="1" x14ac:dyDescent="0.25">
      <c r="A6" s="5" t="str">
        <f>IF('CH4_Gylle_Stald&amp;Lager'!AU40="","",'CH4_Gylle_Stald&amp;Lager'!AU40)</f>
        <v>Malkekøer, tung race Kalve 0-3 mdr.</v>
      </c>
      <c r="B6" s="19" t="str">
        <f>IF('CH4_Gylle_Stald&amp;Lager'!AV40="","",'CH4_Gylle_Stald&amp;Lager'!AV40)</f>
        <v/>
      </c>
      <c r="C6" s="19" t="str">
        <f>IF('CH4_Gylle_Stald&amp;Lager'!AW40="","",'CH4_Gylle_Stald&amp;Lager'!AW40)</f>
        <v/>
      </c>
      <c r="D6" s="19" t="str">
        <f>IF('CH4_Gylle_Stald&amp;Lager'!AX40="","",'CH4_Gylle_Stald&amp;Lager'!AX40)</f>
        <v/>
      </c>
      <c r="E6" s="19" t="str">
        <f>IF('CH4_Gylle_Stald&amp;Lager'!AY40="","",'CH4_Gylle_Stald&amp;Lager'!AY40)</f>
        <v/>
      </c>
      <c r="F6" s="19"/>
      <c r="G6" s="19" t="str">
        <f>IF('N2O_Gylle_Stald&amp;Lager'!BF41="","",'N2O_Gylle_Stald&amp;Lager'!BF41)</f>
        <v>Malkekøer, tung race Kalve 0-3 mdr.</v>
      </c>
      <c r="H6" s="19" t="str">
        <f>IF('N2O_Gylle_Stald&amp;Lager'!BG41="","",'N2O_Gylle_Stald&amp;Lager'!BG41)</f>
        <v/>
      </c>
      <c r="I6" s="19" t="str">
        <f>IF('N2O_Gylle_Stald&amp;Lager'!BH41="","",'N2O_Gylle_Stald&amp;Lager'!BH41)</f>
        <v/>
      </c>
      <c r="J6" s="19" t="str">
        <f>IF('N2O_Gylle_Stald&amp;Lager'!BI41="","",'N2O_Gylle_Stald&amp;Lager'!BI41)</f>
        <v/>
      </c>
      <c r="K6" s="19" t="str">
        <f>IF('N2O_Gylle_Stald&amp;Lager'!BJ41="","",'N2O_Gylle_Stald&amp;Lager'!BJ41)</f>
        <v/>
      </c>
      <c r="M6" s="5" t="str">
        <f>IF('EntericFer &amp; FeedCultiv'!G167="","",'EntericFer &amp; FeedCultiv'!G167)</f>
        <v>Kalve 0-3 mdr.</v>
      </c>
      <c r="N6" s="87">
        <f>IF('EntericFer &amp; FeedCultiv'!H167="","",'EntericFer &amp; FeedCultiv'!H167)</f>
        <v>74.693359576762816</v>
      </c>
      <c r="O6" s="87">
        <f>IF('EntericFer &amp; FeedCultiv'!I167="","",'EntericFer &amp; FeedCultiv'!I167)</f>
        <v>74.693359576762816</v>
      </c>
      <c r="P6" s="87"/>
      <c r="Q6" s="87" t="str">
        <f>IF('EntericFer &amp; FeedCultiv'!K167="","",'EntericFer &amp; FeedCultiv'!K167)</f>
        <v>Kalve 0-3 mdr.</v>
      </c>
      <c r="R6" s="87">
        <f>IF('EntericFer &amp; FeedCultiv'!L167="","",'EntericFer &amp; FeedCultiv'!L167)</f>
        <v>706.34097114964902</v>
      </c>
      <c r="S6" s="87">
        <f>IF('EntericFer &amp; FeedCultiv'!M167="","",'EntericFer &amp; FeedCultiv'!M167)</f>
        <v>706.34097114964902</v>
      </c>
      <c r="T6" s="44"/>
      <c r="U6" s="51"/>
      <c r="V6" s="51"/>
    </row>
    <row r="7" spans="1:22" s="5" customFormat="1" x14ac:dyDescent="0.25">
      <c r="A7" s="5" t="str">
        <f>IF('CH4_Gylle_Stald&amp;Lager'!AU41="","",'CH4_Gylle_Stald&amp;Lager'!AU41)</f>
        <v>Malkekøer, tung race Kalve 0-6 mdr.</v>
      </c>
      <c r="B7" s="19">
        <f>IF('CH4_Gylle_Stald&amp;Lager'!AV41="","",'CH4_Gylle_Stald&amp;Lager'!AV41)</f>
        <v>0</v>
      </c>
      <c r="C7" s="19">
        <f>IF('CH4_Gylle_Stald&amp;Lager'!AW41="","",'CH4_Gylle_Stald&amp;Lager'!AW41)</f>
        <v>211.75728994765086</v>
      </c>
      <c r="D7" s="19">
        <f>IF('CH4_Gylle_Stald&amp;Lager'!AX41="","",'CH4_Gylle_Stald&amp;Lager'!AX41)</f>
        <v>211.75728994765086</v>
      </c>
      <c r="E7" s="19">
        <f>IF('CH4_Gylle_Stald&amp;Lager'!AY41="","",'CH4_Gylle_Stald&amp;Lager'!AY41)</f>
        <v>423.51457989530172</v>
      </c>
      <c r="F7" s="19"/>
      <c r="G7" s="19" t="str">
        <f>IF('N2O_Gylle_Stald&amp;Lager'!BF42="","",'N2O_Gylle_Stald&amp;Lager'!BF42)</f>
        <v>Malkekøer, tung race Kalve 0-6 mdr.</v>
      </c>
      <c r="H7" s="19" t="str">
        <f>IF('N2O_Gylle_Stald&amp;Lager'!BG42="","",'N2O_Gylle_Stald&amp;Lager'!BG42)</f>
        <v/>
      </c>
      <c r="I7" s="19">
        <f>IF('N2O_Gylle_Stald&amp;Lager'!BH42="","",'N2O_Gylle_Stald&amp;Lager'!BH42)</f>
        <v>131.2646752234177</v>
      </c>
      <c r="J7" s="19">
        <f>IF('N2O_Gylle_Stald&amp;Lager'!BI42="","",'N2O_Gylle_Stald&amp;Lager'!BI42)</f>
        <v>40.701709283995243</v>
      </c>
      <c r="K7" s="19">
        <f>IF('N2O_Gylle_Stald&amp;Lager'!BJ42="","",'N2O_Gylle_Stald&amp;Lager'!BJ42)</f>
        <v>171.96638450741295</v>
      </c>
      <c r="M7" s="5" t="str">
        <f>IF('EntericFer &amp; FeedCultiv'!G168="","",'EntericFer &amp; FeedCultiv'!G168)</f>
        <v>Malkekøer, tung race Kalve 0-6 mdr.</v>
      </c>
      <c r="N7" s="87" t="str">
        <f>IF('EntericFer &amp; FeedCultiv'!H168="","",'EntericFer &amp; FeedCultiv'!H168)</f>
        <v/>
      </c>
      <c r="O7" s="87" t="str">
        <f>IF('EntericFer &amp; FeedCultiv'!I168="","",'EntericFer &amp; FeedCultiv'!I168)</f>
        <v/>
      </c>
      <c r="P7" s="87"/>
      <c r="Q7" s="87" t="str">
        <f>IF('EntericFer &amp; FeedCultiv'!K168="","",'EntericFer &amp; FeedCultiv'!K168)</f>
        <v>Malkekøer, tung race Kalve 0-6 mdr.</v>
      </c>
      <c r="R7" s="87">
        <f>IF('EntericFer &amp; FeedCultiv'!L168="","",'EntericFer &amp; FeedCultiv'!L168)</f>
        <v>0</v>
      </c>
      <c r="S7" s="87" t="str">
        <f>IF('EntericFer &amp; FeedCultiv'!M168="","",'EntericFer &amp; FeedCultiv'!M168)</f>
        <v/>
      </c>
      <c r="T7" s="44"/>
      <c r="U7" s="51"/>
      <c r="V7" s="51"/>
    </row>
    <row r="8" spans="1:22" s="5" customFormat="1" x14ac:dyDescent="0.25">
      <c r="A8" s="5" t="str">
        <f>IF('CH4_Gylle_Stald&amp;Lager'!AU42="","",'CH4_Gylle_Stald&amp;Lager'!AU42)</f>
        <v>Malkekøer, tung race Kvier u. 18. mdr.</v>
      </c>
      <c r="B8" s="19">
        <f>IF('CH4_Gylle_Stald&amp;Lager'!AV42="","",'CH4_Gylle_Stald&amp;Lager'!AV42)</f>
        <v>2.2226748468293334</v>
      </c>
      <c r="C8" s="19">
        <f>IF('CH4_Gylle_Stald&amp;Lager'!AW42="","",'CH4_Gylle_Stald&amp;Lager'!AW42)</f>
        <v>203.51944808269545</v>
      </c>
      <c r="D8" s="19">
        <f>IF('CH4_Gylle_Stald&amp;Lager'!AX42="","",'CH4_Gylle_Stald&amp;Lager'!AX42)</f>
        <v>203.51944808269545</v>
      </c>
      <c r="E8" s="19">
        <f>IF('CH4_Gylle_Stald&amp;Lager'!AY42="","",'CH4_Gylle_Stald&amp;Lager'!AY42)</f>
        <v>832.77615090752192</v>
      </c>
      <c r="F8" s="19"/>
      <c r="G8" s="19" t="str">
        <f>IF('N2O_Gylle_Stald&amp;Lager'!BF43="","",'N2O_Gylle_Stald&amp;Lager'!BF43)</f>
        <v>Malkekøer, tung race Kvier u. 18. mdr.</v>
      </c>
      <c r="H8" s="19">
        <f>IF('N2O_Gylle_Stald&amp;Lager'!BG43="","",'N2O_Gylle_Stald&amp;Lager'!BG43)</f>
        <v>33.83469080298422</v>
      </c>
      <c r="I8" s="19">
        <f>IF('N2O_Gylle_Stald&amp;Lager'!BH43="","",'N2O_Gylle_Stald&amp;Lager'!BH43)</f>
        <v>53.434189024897634</v>
      </c>
      <c r="J8" s="19">
        <f>IF('N2O_Gylle_Stald&amp;Lager'!BI43="","",'N2O_Gylle_Stald&amp;Lager'!BI43)</f>
        <v>37.117257867735155</v>
      </c>
      <c r="K8" s="19">
        <f>IF('N2O_Gylle_Stald&amp;Lager'!BJ43="","",'N2O_Gylle_Stald&amp;Lager'!BJ43)</f>
        <v>296.35252220302993</v>
      </c>
      <c r="M8" s="5" t="str">
        <f>IF('EntericFer &amp; FeedCultiv'!G169="","",'EntericFer &amp; FeedCultiv'!G169)</f>
        <v>Malkekøer, tung race Kvier u. 18. mdr.</v>
      </c>
      <c r="N8" s="87">
        <f>IF('EntericFer &amp; FeedCultiv'!H169="","",'EntericFer &amp; FeedCultiv'!H169)</f>
        <v>1548.5570715112638</v>
      </c>
      <c r="O8" s="87">
        <f>IF('EntericFer &amp; FeedCultiv'!I169="","",'EntericFer &amp; FeedCultiv'!I169)</f>
        <v>1623.2504310880265</v>
      </c>
      <c r="P8" s="87"/>
      <c r="Q8" s="87" t="str">
        <f>IF('EntericFer &amp; FeedCultiv'!K169="","",'EntericFer &amp; FeedCultiv'!K169)</f>
        <v>Malkekøer, tung race Kvier u. 18. mdr.</v>
      </c>
      <c r="R8" s="87">
        <f>IF('EntericFer &amp; FeedCultiv'!L169="","",'EntericFer &amp; FeedCultiv'!L169)</f>
        <v>997.69144263069063</v>
      </c>
      <c r="S8" s="87">
        <f>IF('EntericFer &amp; FeedCultiv'!M169="","",'EntericFer &amp; FeedCultiv'!M169)</f>
        <v>1704.0324137803395</v>
      </c>
      <c r="T8" s="44"/>
      <c r="U8" s="51"/>
      <c r="V8" s="51"/>
    </row>
    <row r="9" spans="1:22" s="5" customFormat="1" x14ac:dyDescent="0.25">
      <c r="A9" s="5" t="str">
        <f>IF('CH4_Gylle_Stald&amp;Lager'!AU43="","",'CH4_Gylle_Stald&amp;Lager'!AU43)</f>
        <v>Malkekøer, tung race Kvier o. 18. mdr.</v>
      </c>
      <c r="B9" s="19">
        <f>IF('CH4_Gylle_Stald&amp;Lager'!AV43="","",'CH4_Gylle_Stald&amp;Lager'!AV43)</f>
        <v>2.727453503360231</v>
      </c>
      <c r="C9" s="19">
        <f>IF('CH4_Gylle_Stald&amp;Lager'!AW43="","",'CH4_Gylle_Stald&amp;Lager'!AW43)</f>
        <v>211.85350002827118</v>
      </c>
      <c r="D9" s="19">
        <f>IF('CH4_Gylle_Stald&amp;Lager'!AX43="","",'CH4_Gylle_Stald&amp;Lager'!AX43)</f>
        <v>211.85350002827118</v>
      </c>
      <c r="E9" s="19">
        <f>IF('CH4_Gylle_Stald&amp;Lager'!AY43="","",'CH4_Gylle_Stald&amp;Lager'!AY43)</f>
        <v>849.94903345520436</v>
      </c>
      <c r="F9" s="19"/>
      <c r="G9" s="19" t="str">
        <f>IF('N2O_Gylle_Stald&amp;Lager'!BF44="","",'N2O_Gylle_Stald&amp;Lager'!BF44)</f>
        <v>Malkekøer, tung race Kvier o. 18. mdr.</v>
      </c>
      <c r="H9" s="19">
        <f>IF('N2O_Gylle_Stald&amp;Lager'!BG44="","",'N2O_Gylle_Stald&amp;Lager'!BG44)</f>
        <v>41.51868911341279</v>
      </c>
      <c r="I9" s="19">
        <f>IF('N2O_Gylle_Stald&amp;Lager'!BH44="","",'N2O_Gylle_Stald&amp;Lager'!BH44)</f>
        <v>64.781808165511947</v>
      </c>
      <c r="J9" s="19">
        <f>IF('N2O_Gylle_Stald&amp;Lager'!BI44="","",'N2O_Gylle_Stald&amp;Lager'!BI44)</f>
        <v>44.637210083180214</v>
      </c>
      <c r="K9" s="19">
        <f>IF('N2O_Gylle_Stald&amp;Lager'!BJ44="","",'N2O_Gylle_Stald&amp;Lager'!BJ44)</f>
        <v>322.90409186951791</v>
      </c>
      <c r="M9" s="5" t="str">
        <f>IF('EntericFer &amp; FeedCultiv'!G170="","",'EntericFer &amp; FeedCultiv'!G170)</f>
        <v>Malkekøer, tung race Kvier o. 18. mdr.</v>
      </c>
      <c r="N9" s="87">
        <f>IF('EntericFer &amp; FeedCultiv'!H170="","",'EntericFer &amp; FeedCultiv'!H170)</f>
        <v>2963.2607708363475</v>
      </c>
      <c r="O9" s="87">
        <f>IF('EntericFer &amp; FeedCultiv'!I170="","",'EntericFer &amp; FeedCultiv'!I170)</f>
        <v>3037.9541304131103</v>
      </c>
      <c r="P9" s="87"/>
      <c r="Q9" s="87" t="str">
        <f>IF('EntericFer &amp; FeedCultiv'!K170="","",'EntericFer &amp; FeedCultiv'!K170)</f>
        <v>Malkekøer, tung race Kvier o. 18. mdr.</v>
      </c>
      <c r="R9" s="87">
        <f>IF('EntericFer &amp; FeedCultiv'!L170="","",'EntericFer &amp; FeedCultiv'!L170)</f>
        <v>1807.5246029251728</v>
      </c>
      <c r="S9" s="87">
        <f>IF('EntericFer &amp; FeedCultiv'!M170="","",'EntericFer &amp; FeedCultiv'!M170)</f>
        <v>2513.8655740748218</v>
      </c>
      <c r="T9" s="44"/>
      <c r="U9" s="51"/>
      <c r="V9" s="51"/>
    </row>
    <row r="10" spans="1:22" s="5" customFormat="1" x14ac:dyDescent="0.25">
      <c r="A10" s="5" t="str">
        <f>IF('CH4_Gylle_Stald&amp;Lager'!AU44="","",'CH4_Gylle_Stald&amp;Lager'!AU44)</f>
        <v>Malkekøer, tung race Stude</v>
      </c>
      <c r="B10" s="19">
        <f>IF('CH4_Gylle_Stald&amp;Lager'!AV44="","",'CH4_Gylle_Stald&amp;Lager'!AV44)</f>
        <v>2.727453503360231</v>
      </c>
      <c r="C10" s="19">
        <f>IF('CH4_Gylle_Stald&amp;Lager'!AW44="","",'CH4_Gylle_Stald&amp;Lager'!AW44)</f>
        <v>213.57319673300427</v>
      </c>
      <c r="D10" s="19">
        <f>IF('CH4_Gylle_Stald&amp;Lager'!AX44="","",'CH4_Gylle_Stald&amp;Lager'!AX44)</f>
        <v>213.57319673300427</v>
      </c>
      <c r="E10" s="19">
        <f>IF('CH4_Gylle_Stald&amp;Lager'!AY44="","",'CH4_Gylle_Stald&amp;Lager'!AY44)</f>
        <v>853.38842686467046</v>
      </c>
      <c r="F10" s="19"/>
      <c r="G10" s="19" t="str">
        <f>IF('N2O_Gylle_Stald&amp;Lager'!BF45="","",'N2O_Gylle_Stald&amp;Lager'!BF45)</f>
        <v>Malkekøer, tung race Stude</v>
      </c>
      <c r="H10" s="19">
        <f>IF('N2O_Gylle_Stald&amp;Lager'!BG45="","",'N2O_Gylle_Stald&amp;Lager'!BG45)</f>
        <v>41.51868911341279</v>
      </c>
      <c r="I10" s="19">
        <f>IF('N2O_Gylle_Stald&amp;Lager'!BH45="","",'N2O_Gylle_Stald&amp;Lager'!BH45)</f>
        <v>64.781808165511947</v>
      </c>
      <c r="J10" s="19">
        <f>IF('N2O_Gylle_Stald&amp;Lager'!BI45="","",'N2O_Gylle_Stald&amp;Lager'!BI45)</f>
        <v>44.521459310644559</v>
      </c>
      <c r="K10" s="19">
        <f>IF('N2O_Gylle_Stald&amp;Lager'!BJ45="","",'N2O_Gylle_Stald&amp;Lager'!BJ45)</f>
        <v>322.78834109698226</v>
      </c>
      <c r="M10" s="5" t="str">
        <f>IF('EntericFer &amp; FeedCultiv'!G171="","",'EntericFer &amp; FeedCultiv'!G171)</f>
        <v>Malkekøer, tung race Stude</v>
      </c>
      <c r="N10" s="87">
        <f>IF('EntericFer &amp; FeedCultiv'!H171="","",'EntericFer &amp; FeedCultiv'!H171)</f>
        <v>2806.3220804620701</v>
      </c>
      <c r="O10" s="87">
        <f>IF('EntericFer &amp; FeedCultiv'!I171="","",'EntericFer &amp; FeedCultiv'!I171)</f>
        <v>2881.0154400388328</v>
      </c>
      <c r="P10" s="87"/>
      <c r="Q10" s="87" t="str">
        <f>IF('EntericFer &amp; FeedCultiv'!K171="","",'EntericFer &amp; FeedCultiv'!K171)</f>
        <v>Malkekøer, tung race Stude</v>
      </c>
      <c r="R10" s="87">
        <f>IF('EntericFer &amp; FeedCultiv'!L171="","",'EntericFer &amp; FeedCultiv'!L171)</f>
        <v>2170.1819478230477</v>
      </c>
      <c r="S10" s="87">
        <f>IF('EntericFer &amp; FeedCultiv'!M171="","",'EntericFer &amp; FeedCultiv'!M171)</f>
        <v>2876.522918972697</v>
      </c>
      <c r="T10" s="44"/>
      <c r="U10" s="51"/>
      <c r="V10" s="51"/>
    </row>
    <row r="11" spans="1:22" s="5" customFormat="1" x14ac:dyDescent="0.25">
      <c r="A11" s="5" t="str">
        <f>IF('CH4_Gylle_Stald&amp;Lager'!AU45="","",'CH4_Gylle_Stald&amp;Lager'!AU45)</f>
        <v>Malkekøer, tung race Køer -tk (1year)</v>
      </c>
      <c r="B11" s="19">
        <f>IF('CH4_Gylle_Stald&amp;Lager'!AV45="","",'CH4_Gylle_Stald&amp;Lager'!AV45)</f>
        <v>4.4158663390684918</v>
      </c>
      <c r="C11" s="19">
        <f>IF('CH4_Gylle_Stald&amp;Lager'!AW45="","",'CH4_Gylle_Stald&amp;Lager'!AW45)</f>
        <v>584.86756809785015</v>
      </c>
      <c r="D11" s="19">
        <f>IF('CH4_Gylle_Stald&amp;Lager'!AX45="","",'CH4_Gylle_Stald&amp;Lager'!AX45)</f>
        <v>584.86756809785015</v>
      </c>
      <c r="E11" s="19">
        <f>IF('CH4_Gylle_Stald&amp;Lager'!AY45="","",'CH4_Gylle_Stald&amp;Lager'!AY45)</f>
        <v>1174.1510025347688</v>
      </c>
      <c r="F11" s="19"/>
      <c r="G11" s="19" t="str">
        <f>IF('N2O_Gylle_Stald&amp;Lager'!BF46="","",'N2O_Gylle_Stald&amp;Lager'!BF46)</f>
        <v>Malkekøer, tung race Køer -tk (1year)</v>
      </c>
      <c r="H11" s="19">
        <f>IF('N2O_Gylle_Stald&amp;Lager'!BG46="","",'N2O_Gylle_Stald&amp;Lager'!BG46)</f>
        <v>33.507689969178088</v>
      </c>
      <c r="I11" s="19">
        <f>IF('N2O_Gylle_Stald&amp;Lager'!BH46="","",'N2O_Gylle_Stald&amp;Lager'!BH46)</f>
        <v>255.60245991123284</v>
      </c>
      <c r="J11" s="19">
        <f>IF('N2O_Gylle_Stald&amp;Lager'!BI46="","",'N2O_Gylle_Stald&amp;Lager'!BI46)</f>
        <v>273.44170663096764</v>
      </c>
      <c r="K11" s="19">
        <f>IF('N2O_Gylle_Stald&amp;Lager'!BJ46="","",'N2O_Gylle_Stald&amp;Lager'!BJ46)</f>
        <v>562.55185651137856</v>
      </c>
      <c r="M11" s="5" t="str">
        <f>IF('EntericFer &amp; FeedCultiv'!G172="","",'EntericFer &amp; FeedCultiv'!G172)</f>
        <v>Malkekøer, tung race Køer (1year)</v>
      </c>
      <c r="N11" s="87">
        <f>IF('EntericFer &amp; FeedCultiv'!H172="","",'EntericFer &amp; FeedCultiv'!H172)</f>
        <v>4904.0906036520291</v>
      </c>
      <c r="O11" s="87">
        <f>IF('EntericFer &amp; FeedCultiv'!I172="","",'EntericFer &amp; FeedCultiv'!I172)</f>
        <v>4904.0906036520291</v>
      </c>
      <c r="P11" s="87"/>
      <c r="Q11" s="87" t="str">
        <f>IF('EntericFer &amp; FeedCultiv'!K172="","",'EntericFer &amp; FeedCultiv'!K172)</f>
        <v>Malkekøer, tung race Køer (1year)</v>
      </c>
      <c r="R11" s="87">
        <f>IF('EntericFer &amp; FeedCultiv'!L172="","",'EntericFer &amp; FeedCultiv'!L172)</f>
        <v>3283.902444312153</v>
      </c>
      <c r="S11" s="87">
        <f>IF('EntericFer &amp; FeedCultiv'!M172="","",'EntericFer &amp; FeedCultiv'!M172)</f>
        <v>3283.902444312153</v>
      </c>
      <c r="T11" s="44"/>
      <c r="U11"/>
      <c r="V11"/>
    </row>
    <row r="12" spans="1:22" s="5" customFormat="1" x14ac:dyDescent="0.25">
      <c r="A12" s="5" t="str">
        <f>IF('CH4_Gylle_Stald&amp;Lager'!AU46="","",'CH4_Gylle_Stald&amp;Lager'!AU46)</f>
        <v>Malkekøer, tung race Tyrekalve 0-1 mdr.</v>
      </c>
      <c r="B12" s="19">
        <f>IF('CH4_Gylle_Stald&amp;Lager'!AV46="","",'CH4_Gylle_Stald&amp;Lager'!AV46)</f>
        <v>0</v>
      </c>
      <c r="C12" s="19">
        <f>IF('CH4_Gylle_Stald&amp;Lager'!AW46="","",'CH4_Gylle_Stald&amp;Lager'!AW46)</f>
        <v>158.97225745308202</v>
      </c>
      <c r="D12" s="19">
        <f>IF('CH4_Gylle_Stald&amp;Lager'!AX46="","",'CH4_Gylle_Stald&amp;Lager'!AX46)</f>
        <v>158.97225745308202</v>
      </c>
      <c r="E12" s="19">
        <f>IF('CH4_Gylle_Stald&amp;Lager'!AY46="","",'CH4_Gylle_Stald&amp;Lager'!AY46)</f>
        <v>317.94451490616404</v>
      </c>
      <c r="F12" s="19"/>
      <c r="G12" s="19" t="str">
        <f>IF('N2O_Gylle_Stald&amp;Lager'!BF47="","",'N2O_Gylle_Stald&amp;Lager'!BF47)</f>
        <v>Malkekøer, tung race Tyrekalve 0-1 mdr.</v>
      </c>
      <c r="H12" s="19" t="str">
        <f>IF('N2O_Gylle_Stald&amp;Lager'!BG47="","",'N2O_Gylle_Stald&amp;Lager'!BG47)</f>
        <v/>
      </c>
      <c r="I12" s="19">
        <f>IF('N2O_Gylle_Stald&amp;Lager'!BH47="","",'N2O_Gylle_Stald&amp;Lager'!BH47)</f>
        <v>0.29076016832876717</v>
      </c>
      <c r="J12" s="19">
        <f>IF('N2O_Gylle_Stald&amp;Lager'!BI47="","",'N2O_Gylle_Stald&amp;Lager'!BI47)</f>
        <v>1.5943349230027395</v>
      </c>
      <c r="K12" s="19">
        <f>IF('N2O_Gylle_Stald&amp;Lager'!BJ47="","",'N2O_Gylle_Stald&amp;Lager'!BJ47)</f>
        <v>1.8850950913315065</v>
      </c>
      <c r="M12" s="5" t="str">
        <f>IF('EntericFer &amp; FeedCultiv'!G173="","",'EntericFer &amp; FeedCultiv'!G173)</f>
        <v>Malkekøer, tung race Tyrekalv 0-1 mdr.</v>
      </c>
      <c r="N12" s="87" t="str">
        <f>IF('EntericFer &amp; FeedCultiv'!H173="","",'EntericFer &amp; FeedCultiv'!H173)</f>
        <v/>
      </c>
      <c r="O12" s="87" t="str">
        <f>IF('EntericFer &amp; FeedCultiv'!I173="","",'EntericFer &amp; FeedCultiv'!I173)</f>
        <v/>
      </c>
      <c r="P12" s="87"/>
      <c r="Q12" s="87" t="str">
        <f>IF('EntericFer &amp; FeedCultiv'!K173="","",'EntericFer &amp; FeedCultiv'!K173)</f>
        <v>Malkekøer, tung race Tyrekalv 0-1 mdr.</v>
      </c>
      <c r="R12" s="87">
        <f>IF('EntericFer &amp; FeedCultiv'!L173="","",'EntericFer &amp; FeedCultiv'!L173)</f>
        <v>359.80033632604847</v>
      </c>
      <c r="S12" s="87">
        <f>IF('EntericFer &amp; FeedCultiv'!M173="","",'EntericFer &amp; FeedCultiv'!M173)</f>
        <v>359.80033632604847</v>
      </c>
      <c r="T12" s="44"/>
      <c r="U12" s="236" t="s">
        <v>427</v>
      </c>
      <c r="V12"/>
    </row>
    <row r="13" spans="1:22" s="5" customFormat="1" x14ac:dyDescent="0.25">
      <c r="A13" s="5" t="str">
        <f>IF('CH4_Gylle_Stald&amp;Lager'!AU47="","",'CH4_Gylle_Stald&amp;Lager'!AU47)</f>
        <v>Malkekøer, tung race Tyrekalve 0-3 mdr.</v>
      </c>
      <c r="B13" s="19" t="str">
        <f>IF('CH4_Gylle_Stald&amp;Lager'!AV47="","",'CH4_Gylle_Stald&amp;Lager'!AV47)</f>
        <v/>
      </c>
      <c r="C13" s="19" t="str">
        <f>IF('CH4_Gylle_Stald&amp;Lager'!AW47="","",'CH4_Gylle_Stald&amp;Lager'!AW47)</f>
        <v/>
      </c>
      <c r="D13" s="19" t="str">
        <f>IF('CH4_Gylle_Stald&amp;Lager'!AX47="","",'CH4_Gylle_Stald&amp;Lager'!AX47)</f>
        <v/>
      </c>
      <c r="E13" s="19" t="str">
        <f>IF('CH4_Gylle_Stald&amp;Lager'!AY47="","",'CH4_Gylle_Stald&amp;Lager'!AY47)</f>
        <v/>
      </c>
      <c r="F13" s="19"/>
      <c r="G13" s="19" t="str">
        <f>IF('N2O_Gylle_Stald&amp;Lager'!BF48="","",'N2O_Gylle_Stald&amp;Lager'!BF48)</f>
        <v>Malkekøer, tung race Tyrekalve 0-3 mdr.</v>
      </c>
      <c r="H13" s="19" t="str">
        <f>IF('N2O_Gylle_Stald&amp;Lager'!BG48="","",'N2O_Gylle_Stald&amp;Lager'!BG48)</f>
        <v/>
      </c>
      <c r="I13" s="19" t="str">
        <f>IF('N2O_Gylle_Stald&amp;Lager'!BH48="","",'N2O_Gylle_Stald&amp;Lager'!BH48)</f>
        <v/>
      </c>
      <c r="J13" s="19" t="str">
        <f>IF('N2O_Gylle_Stald&amp;Lager'!BI48="","",'N2O_Gylle_Stald&amp;Lager'!BI48)</f>
        <v/>
      </c>
      <c r="K13" s="19" t="str">
        <f>IF('N2O_Gylle_Stald&amp;Lager'!BJ48="","",'N2O_Gylle_Stald&amp;Lager'!BJ48)</f>
        <v/>
      </c>
      <c r="M13" s="5" t="str">
        <f>IF('EntericFer &amp; FeedCultiv'!G174="","",'EntericFer &amp; FeedCultiv'!G174)</f>
        <v>Tyrekalve 0-3 mdr.</v>
      </c>
      <c r="N13" s="87">
        <f>IF('EntericFer &amp; FeedCultiv'!H174="","",'EntericFer &amp; FeedCultiv'!H174)</f>
        <v>74.693359576762816</v>
      </c>
      <c r="O13" s="87">
        <f>IF('EntericFer &amp; FeedCultiv'!I174="","",'EntericFer &amp; FeedCultiv'!I174)</f>
        <v>74.693359576762816</v>
      </c>
      <c r="P13" s="87"/>
      <c r="Q13" s="87" t="str">
        <f>IF('EntericFer &amp; FeedCultiv'!K174="","",'EntericFer &amp; FeedCultiv'!K174)</f>
        <v>Tyrekalve 0-3 mdr.</v>
      </c>
      <c r="R13" s="87">
        <f>IF('EntericFer &amp; FeedCultiv'!L174="","",'EntericFer &amp; FeedCultiv'!L174)</f>
        <v>706.34097114964902</v>
      </c>
      <c r="S13" s="87">
        <f>IF('EntericFer &amp; FeedCultiv'!M174="","",'EntericFer &amp; FeedCultiv'!M174)</f>
        <v>706.34097114964902</v>
      </c>
      <c r="T13" s="44"/>
      <c r="U13" s="340">
        <f>SUM(D50:E50)+SUM(D49:E49)</f>
        <v>1465.7302284628572</v>
      </c>
      <c r="V13" s="340">
        <f>E7+K7</f>
        <v>595.48096440271468</v>
      </c>
    </row>
    <row r="14" spans="1:22" s="5" customFormat="1" x14ac:dyDescent="0.25">
      <c r="A14" s="5" t="str">
        <f>IF('CH4_Gylle_Stald&amp;Lager'!AU48="","",'CH4_Gylle_Stald&amp;Lager'!AU48)</f>
        <v>Malkekøer, tung race Tyrekalve 0-6 mdr.</v>
      </c>
      <c r="B14" s="19">
        <f>IF('CH4_Gylle_Stald&amp;Lager'!AV48="","",'CH4_Gylle_Stald&amp;Lager'!AV48)</f>
        <v>0</v>
      </c>
      <c r="C14" s="19">
        <f>IF('CH4_Gylle_Stald&amp;Lager'!AW48="","",'CH4_Gylle_Stald&amp;Lager'!AW48)</f>
        <v>187.17226361662503</v>
      </c>
      <c r="D14" s="19">
        <f>IF('CH4_Gylle_Stald&amp;Lager'!AX48="","",'CH4_Gylle_Stald&amp;Lager'!AX48)</f>
        <v>187.17226361662503</v>
      </c>
      <c r="E14" s="19">
        <f>IF('CH4_Gylle_Stald&amp;Lager'!AY48="","",'CH4_Gylle_Stald&amp;Lager'!AY48)</f>
        <v>374.34452723325006</v>
      </c>
      <c r="F14" s="19"/>
      <c r="G14" s="19" t="str">
        <f>IF('N2O_Gylle_Stald&amp;Lager'!BF49="","",'N2O_Gylle_Stald&amp;Lager'!BF49)</f>
        <v>Malkekøer, tung race Tyrekalve 0-6 mdr.</v>
      </c>
      <c r="H14" s="19" t="str">
        <f>IF('N2O_Gylle_Stald&amp;Lager'!BG49="","",'N2O_Gylle_Stald&amp;Lager'!BG49)</f>
        <v/>
      </c>
      <c r="I14" s="19">
        <f>IF('N2O_Gylle_Stald&amp;Lager'!BH49="","",'N2O_Gylle_Stald&amp;Lager'!BH49)</f>
        <v>67.279533749999985</v>
      </c>
      <c r="J14" s="19">
        <f>IF('N2O_Gylle_Stald&amp;Lager'!BI49="","",'N2O_Gylle_Stald&amp;Lager'!BI49)</f>
        <v>21.053441784374996</v>
      </c>
      <c r="K14" s="19">
        <f>IF('N2O_Gylle_Stald&amp;Lager'!BJ49="","",'N2O_Gylle_Stald&amp;Lager'!BJ49)</f>
        <v>88.332975534374981</v>
      </c>
      <c r="M14" s="5" t="str">
        <f>IF('EntericFer &amp; FeedCultiv'!G175="","",'EntericFer &amp; FeedCultiv'!G175)</f>
        <v>Malkekøer, tung race Tyrekalve 0-6 mdr.</v>
      </c>
      <c r="N14" s="87" t="str">
        <f>IF('EntericFer &amp; FeedCultiv'!H175="","",'EntericFer &amp; FeedCultiv'!H175)</f>
        <v/>
      </c>
      <c r="O14" s="87" t="str">
        <f>IF('EntericFer &amp; FeedCultiv'!I175="","",'EntericFer &amp; FeedCultiv'!I175)</f>
        <v/>
      </c>
      <c r="P14" s="87"/>
      <c r="Q14" s="87" t="str">
        <f>IF('EntericFer &amp; FeedCultiv'!K175="","",'EntericFer &amp; FeedCultiv'!K175)</f>
        <v>Malkekøer, tung race Tyrekalve 0-6 mdr.</v>
      </c>
      <c r="R14" s="87">
        <f>IF('EntericFer &amp; FeedCultiv'!L175="","",'EntericFer &amp; FeedCultiv'!L175)</f>
        <v>0</v>
      </c>
      <c r="S14" s="87" t="str">
        <f>IF('EntericFer &amp; FeedCultiv'!M175="","",'EntericFer &amp; FeedCultiv'!M175)</f>
        <v/>
      </c>
      <c r="T14" s="44"/>
      <c r="U14" s="51"/>
      <c r="V14" s="51"/>
    </row>
    <row r="15" spans="1:22" s="5" customFormat="1" x14ac:dyDescent="0.25">
      <c r="A15" s="5" t="str">
        <f>IF('CH4_Gylle_Stald&amp;Lager'!AU49="","",'CH4_Gylle_Stald&amp;Lager'!AU49)</f>
        <v>Malkekøer, tung race Tyre u. 12 mdr.</v>
      </c>
      <c r="B15" s="19">
        <f>IF('CH4_Gylle_Stald&amp;Lager'!AV49="","",'CH4_Gylle_Stald&amp;Lager'!AV49)</f>
        <v>0</v>
      </c>
      <c r="C15" s="19">
        <f>IF('CH4_Gylle_Stald&amp;Lager'!AW49="","",'CH4_Gylle_Stald&amp;Lager'!AW49)</f>
        <v>285.49593161928129</v>
      </c>
      <c r="D15" s="19">
        <f>IF('CH4_Gylle_Stald&amp;Lager'!AX49="","",'CH4_Gylle_Stald&amp;Lager'!AX49)</f>
        <v>285.49593161928129</v>
      </c>
      <c r="E15" s="19">
        <f>IF('CH4_Gylle_Stald&amp;Lager'!AY49="","",'CH4_Gylle_Stald&amp;Lager'!AY49)</f>
        <v>945.33639047181259</v>
      </c>
      <c r="F15" s="19"/>
      <c r="G15" s="19" t="str">
        <f>IF('N2O_Gylle_Stald&amp;Lager'!BF50="","",'N2O_Gylle_Stald&amp;Lager'!BF50)</f>
        <v>Malkekøer, tung race Tyre u. 12 mdr.</v>
      </c>
      <c r="H15" s="19">
        <f>IF('N2O_Gylle_Stald&amp;Lager'!BG50="","",'N2O_Gylle_Stald&amp;Lager'!BG50)</f>
        <v>0</v>
      </c>
      <c r="I15" s="19">
        <f>IF('N2O_Gylle_Stald&amp;Lager'!BH50="","",'N2O_Gylle_Stald&amp;Lager'!BH50)</f>
        <v>68.57017707552167</v>
      </c>
      <c r="J15" s="19">
        <f>IF('N2O_Gylle_Stald&amp;Lager'!BI50="","",'N2O_Gylle_Stald&amp;Lager'!BI50)</f>
        <v>38.632527576962353</v>
      </c>
      <c r="K15" s="19">
        <f>IF('N2O_Gylle_Stald&amp;Lager'!BJ50="","",'N2O_Gylle_Stald&amp;Lager'!BJ50)</f>
        <v>195.535680186859</v>
      </c>
      <c r="M15" s="5" t="str">
        <f>IF('EntericFer &amp; FeedCultiv'!G176="","",'EntericFer &amp; FeedCultiv'!G176)</f>
        <v>Malkekøer, tung race Tyre u. 12 mdr.</v>
      </c>
      <c r="N15" s="87">
        <f>IF('EntericFer &amp; FeedCultiv'!H176="","",'EntericFer &amp; FeedCultiv'!H176)</f>
        <v>614.42162575374186</v>
      </c>
      <c r="O15" s="87">
        <f>IF('EntericFer &amp; FeedCultiv'!I176="","",'EntericFer &amp; FeedCultiv'!I176)</f>
        <v>689.11498533050462</v>
      </c>
      <c r="P15" s="87"/>
      <c r="Q15" s="87" t="str">
        <f>IF('EntericFer &amp; FeedCultiv'!K176="","",'EntericFer &amp; FeedCultiv'!K176)</f>
        <v>Malkekøer, tung race Tyre u. 12 mdr.</v>
      </c>
      <c r="R15" s="87">
        <f>IF('EntericFer &amp; FeedCultiv'!L176="","",'EntericFer &amp; FeedCultiv'!L176)</f>
        <v>427.11244747120776</v>
      </c>
      <c r="S15" s="87">
        <f>IF('EntericFer &amp; FeedCultiv'!M176="","",'EntericFer &amp; FeedCultiv'!M176)</f>
        <v>1133.4534186208568</v>
      </c>
      <c r="T15" s="51"/>
      <c r="U15" s="51"/>
    </row>
    <row r="16" spans="1:22" s="5" customFormat="1" x14ac:dyDescent="0.25">
      <c r="A16" s="5" t="str">
        <f>IF('CH4_Gylle_Stald&amp;Lager'!AU50="","",'CH4_Gylle_Stald&amp;Lager'!AU50)</f>
        <v>Malkekøer, tung race Tyre o. 12 mdr.</v>
      </c>
      <c r="B16" s="19">
        <f>IF('CH4_Gylle_Stald&amp;Lager'!AV50="","",'CH4_Gylle_Stald&amp;Lager'!AV50)</f>
        <v>0</v>
      </c>
      <c r="C16" s="19">
        <f>IF('CH4_Gylle_Stald&amp;Lager'!AW50="","",'CH4_Gylle_Stald&amp;Lager'!AW50)</f>
        <v>312.01015861288442</v>
      </c>
      <c r="D16" s="19">
        <f>IF('CH4_Gylle_Stald&amp;Lager'!AX50="","",'CH4_Gylle_Stald&amp;Lager'!AX50)</f>
        <v>312.01015861288442</v>
      </c>
      <c r="E16" s="19">
        <f>IF('CH4_Gylle_Stald&amp;Lager'!AY50="","",'CH4_Gylle_Stald&amp;Lager'!AY50)</f>
        <v>998.36484445901897</v>
      </c>
      <c r="F16" s="19"/>
      <c r="G16" s="19" t="str">
        <f>IF('N2O_Gylle_Stald&amp;Lager'!BF51="","",'N2O_Gylle_Stald&amp;Lager'!BF51)</f>
        <v>Malkekøer, tung race Tyre o. 12 mdr.</v>
      </c>
      <c r="H16" s="19">
        <f>IF('N2O_Gylle_Stald&amp;Lager'!BG51="","",'N2O_Gylle_Stald&amp;Lager'!BG51)</f>
        <v>0</v>
      </c>
      <c r="I16" s="19">
        <f>IF('N2O_Gylle_Stald&amp;Lager'!BH51="","",'N2O_Gylle_Stald&amp;Lager'!BH51)</f>
        <v>104.26463906240531</v>
      </c>
      <c r="J16" s="19">
        <f>IF('N2O_Gylle_Stald&amp;Lager'!BI51="","",'N2O_Gylle_Stald&amp;Lager'!BI51)</f>
        <v>59.250704283636423</v>
      </c>
      <c r="K16" s="19">
        <f>IF('N2O_Gylle_Stald&amp;Lager'!BJ51="","",'N2O_Gylle_Stald&amp;Lager'!BJ51)</f>
        <v>251.84831888041671</v>
      </c>
      <c r="M16" s="5" t="str">
        <f>IF('EntericFer &amp; FeedCultiv'!G177="","",'EntericFer &amp; FeedCultiv'!G177)</f>
        <v>Malkekøer, tung race Tyre o. 12 mdr.</v>
      </c>
      <c r="N16" s="87">
        <f>IF('EntericFer &amp; FeedCultiv'!H177="","",'EntericFer &amp; FeedCultiv'!H177)</f>
        <v>1022.8629566087826</v>
      </c>
      <c r="O16" s="87">
        <f>IF('EntericFer &amp; FeedCultiv'!I177="","",'EntericFer &amp; FeedCultiv'!I177)</f>
        <v>1097.5563161855455</v>
      </c>
      <c r="P16" s="87"/>
      <c r="Q16" s="87" t="str">
        <f>IF('EntericFer &amp; FeedCultiv'!K177="","",'EntericFer &amp; FeedCultiv'!K177)</f>
        <v>Malkekøer, tung race Tyre o. 12 mdr.</v>
      </c>
      <c r="R16" s="87">
        <f>IF('EntericFer &amp; FeedCultiv'!L177="","",'EntericFer &amp; FeedCultiv'!L177)</f>
        <v>708.95292352896081</v>
      </c>
      <c r="S16" s="87">
        <f>IF('EntericFer &amp; FeedCultiv'!M177="","",'EntericFer &amp; FeedCultiv'!M177)</f>
        <v>1415.2938946786098</v>
      </c>
      <c r="T16" s="51"/>
      <c r="U16" s="51"/>
    </row>
    <row r="17" spans="1:21" s="471" customFormat="1" x14ac:dyDescent="0.25">
      <c r="A17" s="471" t="str">
        <f>IF('CH4_Gylle_Stald&amp;Lager'!AU51="","",'CH4_Gylle_Stald&amp;Lager'!AU51)</f>
        <v/>
      </c>
      <c r="B17" s="487" t="str">
        <f>IF('CH4_Gylle_Stald&amp;Lager'!AV51="","",'CH4_Gylle_Stald&amp;Lager'!AV51)</f>
        <v/>
      </c>
      <c r="C17" s="487" t="str">
        <f>IF('CH4_Gylle_Stald&amp;Lager'!AW51="","",'CH4_Gylle_Stald&amp;Lager'!AW51)</f>
        <v/>
      </c>
      <c r="D17" s="487" t="str">
        <f>IF('CH4_Gylle_Stald&amp;Lager'!AX51="","",'CH4_Gylle_Stald&amp;Lager'!AX51)</f>
        <v/>
      </c>
      <c r="E17" s="487" t="str">
        <f>IF('CH4_Gylle_Stald&amp;Lager'!AY51="","",'CH4_Gylle_Stald&amp;Lager'!AY51)</f>
        <v/>
      </c>
      <c r="F17" s="487"/>
      <c r="G17" s="487">
        <f>IF('N2O_Gylle_Stald&amp;Lager'!BF52="","",'N2O_Gylle_Stald&amp;Lager'!BF52)</f>
        <v>0</v>
      </c>
      <c r="H17" s="487" t="str">
        <f>IF('N2O_Gylle_Stald&amp;Lager'!BG52="","",'N2O_Gylle_Stald&amp;Lager'!BG52)</f>
        <v/>
      </c>
      <c r="I17" s="487" t="str">
        <f>IF('N2O_Gylle_Stald&amp;Lager'!BH52="","",'N2O_Gylle_Stald&amp;Lager'!BH52)</f>
        <v/>
      </c>
      <c r="J17" s="487" t="str">
        <f>IF('N2O_Gylle_Stald&amp;Lager'!BI52="","",'N2O_Gylle_Stald&amp;Lager'!BI52)</f>
        <v/>
      </c>
      <c r="K17" s="487" t="str">
        <f>IF('N2O_Gylle_Stald&amp;Lager'!BJ52="","",'N2O_Gylle_Stald&amp;Lager'!BJ52)</f>
        <v/>
      </c>
      <c r="M17" s="471" t="str">
        <f>IF('EntericFer &amp; FeedCultiv'!G178="","",'EntericFer &amp; FeedCultiv'!G178)</f>
        <v/>
      </c>
      <c r="N17" s="470" t="str">
        <f>IF('EntericFer &amp; FeedCultiv'!H178="","",'EntericFer &amp; FeedCultiv'!H178)</f>
        <v/>
      </c>
      <c r="O17" s="470" t="str">
        <f>IF('EntericFer &amp; FeedCultiv'!I178="","",'EntericFer &amp; FeedCultiv'!I178)</f>
        <v/>
      </c>
      <c r="P17" s="470"/>
      <c r="Q17" s="470" t="str">
        <f>IF('EntericFer &amp; FeedCultiv'!K178="","",'EntericFer &amp; FeedCultiv'!K178)</f>
        <v/>
      </c>
      <c r="R17" s="470" t="str">
        <f>IF('EntericFer &amp; FeedCultiv'!L178="","",'EntericFer &amp; FeedCultiv'!L178)</f>
        <v/>
      </c>
      <c r="S17" s="470" t="str">
        <f>IF('EntericFer &amp; FeedCultiv'!M178="","",'EntericFer &amp; FeedCultiv'!M178)</f>
        <v/>
      </c>
      <c r="T17" s="488"/>
      <c r="U17" s="488"/>
    </row>
    <row r="18" spans="1:21" s="5" customFormat="1" x14ac:dyDescent="0.25">
      <c r="A18" s="5" t="str">
        <f>IF('CH4_Gylle_Stald&amp;Lager'!AU52="","",'CH4_Gylle_Stald&amp;Lager'!AU52)</f>
        <v>Malkekøer, jersey Kalve 0-1 mdr.</v>
      </c>
      <c r="B18" s="19">
        <f>IF('CH4_Gylle_Stald&amp;Lager'!AV52="","",'CH4_Gylle_Stald&amp;Lager'!AV52)</f>
        <v>0</v>
      </c>
      <c r="C18" s="19">
        <f>IF('CH4_Gylle_Stald&amp;Lager'!AW52="","",'CH4_Gylle_Stald&amp;Lager'!AW52)</f>
        <v>159.83937993161339</v>
      </c>
      <c r="D18" s="19">
        <f>IF('CH4_Gylle_Stald&amp;Lager'!AX52="","",'CH4_Gylle_Stald&amp;Lager'!AX52)</f>
        <v>159.83937993161339</v>
      </c>
      <c r="E18" s="19">
        <f>IF('CH4_Gylle_Stald&amp;Lager'!AY52="","",'CH4_Gylle_Stald&amp;Lager'!AY52)</f>
        <v>319.67875986322679</v>
      </c>
      <c r="F18" s="19"/>
      <c r="G18" s="19" t="str">
        <f>IF('N2O_Gylle_Stald&amp;Lager'!BF53="","",'N2O_Gylle_Stald&amp;Lager'!BF53)</f>
        <v>Malkekøer, jersey Kalve 0-1 mdr.</v>
      </c>
      <c r="H18" s="19" t="str">
        <f>IF('N2O_Gylle_Stald&amp;Lager'!BG53="","",'N2O_Gylle_Stald&amp;Lager'!BG53)</f>
        <v/>
      </c>
      <c r="I18" s="19">
        <f>IF('N2O_Gylle_Stald&amp;Lager'!BH53="","",'N2O_Gylle_Stald&amp;Lager'!BH53)</f>
        <v>84.241461961325967</v>
      </c>
      <c r="J18" s="19">
        <f>IF('N2O_Gylle_Stald&amp;Lager'!BI53="","",'N2O_Gylle_Stald&amp;Lager'!BI53)</f>
        <v>26.183324446284534</v>
      </c>
      <c r="K18" s="19">
        <f>IF('N2O_Gylle_Stald&amp;Lager'!BJ53="","",'N2O_Gylle_Stald&amp;Lager'!BJ53)</f>
        <v>110.4247864076105</v>
      </c>
      <c r="M18" s="5" t="str">
        <f>IF('EntericFer &amp; FeedCultiv'!G179="","",'EntericFer &amp; FeedCultiv'!G179)</f>
        <v>Malkekøer, jersey Kalve 0-1 mdr.</v>
      </c>
      <c r="N18" s="87">
        <f>IF('EntericFer &amp; FeedCultiv'!H179="","",'EntericFer &amp; FeedCultiv'!H179)</f>
        <v>0</v>
      </c>
      <c r="O18" s="87" t="str">
        <f>IF('EntericFer &amp; FeedCultiv'!I179="","",'EntericFer &amp; FeedCultiv'!I179)</f>
        <v/>
      </c>
      <c r="P18" s="87"/>
      <c r="Q18" s="87" t="str">
        <f>IF('EntericFer &amp; FeedCultiv'!K179="","",'EntericFer &amp; FeedCultiv'!K179)</f>
        <v>Malkekøer, jersey Kalve 0-1 mdr.</v>
      </c>
      <c r="R18" s="87">
        <f>IF('EntericFer &amp; FeedCultiv'!L179="","",'EntericFer &amp; FeedCultiv'!L179)</f>
        <v>225.67897657706087</v>
      </c>
      <c r="S18" s="87">
        <f>IF('EntericFer &amp; FeedCultiv'!M179="","",'EntericFer &amp; FeedCultiv'!M179)</f>
        <v>225.67897657706087</v>
      </c>
      <c r="T18" s="51"/>
      <c r="U18" s="51"/>
    </row>
    <row r="19" spans="1:21" s="5" customFormat="1" x14ac:dyDescent="0.25">
      <c r="A19" s="5" t="str">
        <f>IF('CH4_Gylle_Stald&amp;Lager'!AU53="","",'CH4_Gylle_Stald&amp;Lager'!AU53)</f>
        <v>Malkekøer, jersey Kalve 0-3 mdr.</v>
      </c>
      <c r="B19" s="19" t="str">
        <f>IF('CH4_Gylle_Stald&amp;Lager'!AV53="","",'CH4_Gylle_Stald&amp;Lager'!AV53)</f>
        <v/>
      </c>
      <c r="C19" s="19" t="str">
        <f>IF('CH4_Gylle_Stald&amp;Lager'!AW53="","",'CH4_Gylle_Stald&amp;Lager'!AW53)</f>
        <v/>
      </c>
      <c r="D19" s="19" t="str">
        <f>IF('CH4_Gylle_Stald&amp;Lager'!AX53="","",'CH4_Gylle_Stald&amp;Lager'!AX53)</f>
        <v/>
      </c>
      <c r="E19" s="19" t="str">
        <f>IF('CH4_Gylle_Stald&amp;Lager'!AY53="","",'CH4_Gylle_Stald&amp;Lager'!AY53)</f>
        <v/>
      </c>
      <c r="F19" s="19"/>
      <c r="G19" s="19" t="str">
        <f>IF('N2O_Gylle_Stald&amp;Lager'!BF54="","",'N2O_Gylle_Stald&amp;Lager'!BF54)</f>
        <v>Malkekøer, jersey Kalve 0-3 mdr.</v>
      </c>
      <c r="H19" s="19" t="str">
        <f>IF('N2O_Gylle_Stald&amp;Lager'!BG54="","",'N2O_Gylle_Stald&amp;Lager'!BG54)</f>
        <v/>
      </c>
      <c r="I19" s="19" t="str">
        <f>IF('N2O_Gylle_Stald&amp;Lager'!BH54="","",'N2O_Gylle_Stald&amp;Lager'!BH54)</f>
        <v/>
      </c>
      <c r="J19" s="19" t="str">
        <f>IF('N2O_Gylle_Stald&amp;Lager'!BI54="","",'N2O_Gylle_Stald&amp;Lager'!BI54)</f>
        <v/>
      </c>
      <c r="K19" s="19" t="str">
        <f>IF('N2O_Gylle_Stald&amp;Lager'!BJ54="","",'N2O_Gylle_Stald&amp;Lager'!BJ54)</f>
        <v/>
      </c>
      <c r="M19" s="5" t="str">
        <f>IF('EntericFer &amp; FeedCultiv'!G180="","",'EntericFer &amp; FeedCultiv'!G180)</f>
        <v>Kalve 0-3 mdr.</v>
      </c>
      <c r="N19" s="87">
        <f>IF('EntericFer &amp; FeedCultiv'!H180="","",'EntericFer &amp; FeedCultiv'!H180)</f>
        <v>93.421864559900499</v>
      </c>
      <c r="O19" s="87">
        <f>IF('EntericFer &amp; FeedCultiv'!I180="","",'EntericFer &amp; FeedCultiv'!I180)</f>
        <v>93.421864559900499</v>
      </c>
      <c r="P19" s="87"/>
      <c r="Q19" s="87" t="str">
        <f>IF('EntericFer &amp; FeedCultiv'!K180="","",'EntericFer &amp; FeedCultiv'!K180)</f>
        <v>Kalve 0-3 mdr.</v>
      </c>
      <c r="R19" s="87">
        <f>IF('EntericFer &amp; FeedCultiv'!L180="","",'EntericFer &amp; FeedCultiv'!L180)</f>
        <v>558.25226666668777</v>
      </c>
      <c r="S19" s="87">
        <f>IF('EntericFer &amp; FeedCultiv'!M180="","",'EntericFer &amp; FeedCultiv'!M180)</f>
        <v>558.25226666668777</v>
      </c>
      <c r="T19" s="51"/>
      <c r="U19" s="51"/>
    </row>
    <row r="20" spans="1:21" s="5" customFormat="1" x14ac:dyDescent="0.25">
      <c r="A20" s="5" t="str">
        <f>IF('CH4_Gylle_Stald&amp;Lager'!AU54="","",'CH4_Gylle_Stald&amp;Lager'!AU54)</f>
        <v>Malkekøer, jersey Kalve 0-6 mdr.</v>
      </c>
      <c r="B20" s="19">
        <f>IF('CH4_Gylle_Stald&amp;Lager'!AV54="","",'CH4_Gylle_Stald&amp;Lager'!AV54)</f>
        <v>0</v>
      </c>
      <c r="C20" s="19">
        <f>IF('CH4_Gylle_Stald&amp;Lager'!AW54="","",'CH4_Gylle_Stald&amp;Lager'!AW54)</f>
        <v>166.5604341765</v>
      </c>
      <c r="D20" s="19">
        <f>IF('CH4_Gylle_Stald&amp;Lager'!AX54="","",'CH4_Gylle_Stald&amp;Lager'!AX54)</f>
        <v>166.5604341765</v>
      </c>
      <c r="E20" s="19">
        <f>IF('CH4_Gylle_Stald&amp;Lager'!AY54="","",'CH4_Gylle_Stald&amp;Lager'!AY54)</f>
        <v>333.12086835299999</v>
      </c>
      <c r="F20" s="19"/>
      <c r="G20" s="19" t="str">
        <f>IF('N2O_Gylle_Stald&amp;Lager'!BF55="","",'N2O_Gylle_Stald&amp;Lager'!BF55)</f>
        <v>Malkekøer, jersey Kalve 0-6 mdr.</v>
      </c>
      <c r="H20" s="19" t="str">
        <f>IF('N2O_Gylle_Stald&amp;Lager'!BG55="","",'N2O_Gylle_Stald&amp;Lager'!BG55)</f>
        <v/>
      </c>
      <c r="I20" s="19">
        <f>IF('N2O_Gylle_Stald&amp;Lager'!BH55="","",'N2O_Gylle_Stald&amp;Lager'!BH55)</f>
        <v>98.933834999999988</v>
      </c>
      <c r="J20" s="19">
        <f>IF('N2O_Gylle_Stald&amp;Lager'!BI55="","",'N2O_Gylle_Stald&amp;Lager'!BI55)</f>
        <v>30.694991827499994</v>
      </c>
      <c r="K20" s="19">
        <f>IF('N2O_Gylle_Stald&amp;Lager'!BJ55="","",'N2O_Gylle_Stald&amp;Lager'!BJ55)</f>
        <v>129.62882682749998</v>
      </c>
      <c r="M20" s="5" t="str">
        <f>IF('EntericFer &amp; FeedCultiv'!G181="","",'EntericFer &amp; FeedCultiv'!G181)</f>
        <v>Malkekøer, jersey Kalve 0-6 mdr.</v>
      </c>
      <c r="N20" s="87">
        <f>IF('EntericFer &amp; FeedCultiv'!H181="","",'EntericFer &amp; FeedCultiv'!H181)</f>
        <v>0</v>
      </c>
      <c r="O20" s="87" t="str">
        <f>IF('EntericFer &amp; FeedCultiv'!I181="","",'EntericFer &amp; FeedCultiv'!I181)</f>
        <v/>
      </c>
      <c r="P20" s="87"/>
      <c r="Q20" s="87" t="str">
        <f>IF('EntericFer &amp; FeedCultiv'!K181="","",'EntericFer &amp; FeedCultiv'!K181)</f>
        <v>Malkekøer, jersey Kalve 0-6 mdr.</v>
      </c>
      <c r="R20" s="87">
        <f>IF('EntericFer &amp; FeedCultiv'!L181="","",'EntericFer &amp; FeedCultiv'!L181)</f>
        <v>0</v>
      </c>
      <c r="S20" s="87" t="str">
        <f>IF('EntericFer &amp; FeedCultiv'!M181="","",'EntericFer &amp; FeedCultiv'!M181)</f>
        <v/>
      </c>
      <c r="T20" s="51"/>
      <c r="U20" s="51"/>
    </row>
    <row r="21" spans="1:21" s="5" customFormat="1" x14ac:dyDescent="0.25">
      <c r="A21" s="5" t="str">
        <f>IF('CH4_Gylle_Stald&amp;Lager'!AU55="","",'CH4_Gylle_Stald&amp;Lager'!AU55)</f>
        <v>Malkekøer, jersey Kvier u. 18. mdr.</v>
      </c>
      <c r="B21" s="19">
        <f>IF('CH4_Gylle_Stald&amp;Lager'!AV55="","",'CH4_Gylle_Stald&amp;Lager'!AV55)</f>
        <v>1.6711834545958988</v>
      </c>
      <c r="C21" s="19">
        <f>IF('CH4_Gylle_Stald&amp;Lager'!AW55="","",'CH4_Gylle_Stald&amp;Lager'!AW55)</f>
        <v>154.3399604026024</v>
      </c>
      <c r="D21" s="19">
        <f>IF('CH4_Gylle_Stald&amp;Lager'!AX55="","",'CH4_Gylle_Stald&amp;Lager'!AX55)</f>
        <v>154.3399604026024</v>
      </c>
      <c r="E21" s="19">
        <f>IF('CH4_Gylle_Stald&amp;Lager'!AY55="","",'CH4_Gylle_Stald&amp;Lager'!AY55)</f>
        <v>643.47197261280076</v>
      </c>
      <c r="F21" s="19"/>
      <c r="G21" s="19" t="str">
        <f>IF('N2O_Gylle_Stald&amp;Lager'!BF56="","",'N2O_Gylle_Stald&amp;Lager'!BF56)</f>
        <v>Malkekøer, jersey Kvier u. 18. mdr.</v>
      </c>
      <c r="H21" s="19">
        <f>IF('N2O_Gylle_Stald&amp;Lager'!BG56="","",'N2O_Gylle_Stald&amp;Lager'!BG56)</f>
        <v>25.506907939710242</v>
      </c>
      <c r="I21" s="19">
        <f>IF('N2O_Gylle_Stald&amp;Lager'!BH56="","",'N2O_Gylle_Stald&amp;Lager'!BH56)</f>
        <v>39.273630226389052</v>
      </c>
      <c r="J21" s="19">
        <f>IF('N2O_Gylle_Stald&amp;Lager'!BI56="","",'N2O_Gylle_Stald&amp;Lager'!BI56)</f>
        <v>28.290962325088206</v>
      </c>
      <c r="K21" s="19">
        <f>IF('N2O_Gylle_Stald&amp;Lager'!BJ56="","",'N2O_Gylle_Stald&amp;Lager'!BJ56)</f>
        <v>222.70032731868747</v>
      </c>
      <c r="M21" s="5" t="str">
        <f>IF('EntericFer &amp; FeedCultiv'!G182="","",'EntericFer &amp; FeedCultiv'!G182)</f>
        <v>Malkekøer, jersey Kvier u. 18. mdr.</v>
      </c>
      <c r="N21" s="87">
        <f>IF('EntericFer &amp; FeedCultiv'!H182="","",'EntericFer &amp; FeedCultiv'!H182)</f>
        <v>999.8436532370838</v>
      </c>
      <c r="O21" s="87">
        <f>IF('EntericFer &amp; FeedCultiv'!I182="","",'EntericFer &amp; FeedCultiv'!I182)</f>
        <v>1093.2655177969843</v>
      </c>
      <c r="P21" s="87"/>
      <c r="Q21" s="87" t="str">
        <f>IF('EntericFer &amp; FeedCultiv'!K182="","",'EntericFer &amp; FeedCultiv'!K182)</f>
        <v>Malkekøer, jersey Kvier u. 18. mdr.</v>
      </c>
      <c r="R21" s="87">
        <f>IF('EntericFer &amp; FeedCultiv'!L182="","",'EntericFer &amp; FeedCultiv'!L182)</f>
        <v>617.15744929029881</v>
      </c>
      <c r="S21" s="87">
        <f>IF('EntericFer &amp; FeedCultiv'!M182="","",'EntericFer &amp; FeedCultiv'!M182)</f>
        <v>1323.4984204399479</v>
      </c>
      <c r="T21" s="51"/>
      <c r="U21" s="51"/>
    </row>
    <row r="22" spans="1:21" s="5" customFormat="1" x14ac:dyDescent="0.25">
      <c r="A22" s="5" t="str">
        <f>IF('CH4_Gylle_Stald&amp;Lager'!AU56="","",'CH4_Gylle_Stald&amp;Lager'!AU56)</f>
        <v>Malkekøer, jersey Kvier o. 18. mdr.</v>
      </c>
      <c r="B22" s="19">
        <f>IF('CH4_Gylle_Stald&amp;Lager'!AV56="","",'CH4_Gylle_Stald&amp;Lager'!AV56)</f>
        <v>2.0932449446635881</v>
      </c>
      <c r="C22" s="19">
        <f>IF('CH4_Gylle_Stald&amp;Lager'!AW56="","",'CH4_Gylle_Stald&amp;Lager'!AW56)</f>
        <v>161.2162899680404</v>
      </c>
      <c r="D22" s="19">
        <f>IF('CH4_Gylle_Stald&amp;Lager'!AX56="","",'CH4_Gylle_Stald&amp;Lager'!AX56)</f>
        <v>161.2162899680404</v>
      </c>
      <c r="E22" s="19">
        <f>IF('CH4_Gylle_Stald&amp;Lager'!AY56="","",'CH4_Gylle_Stald&amp;Lager'!AY56)</f>
        <v>657.64669323374437</v>
      </c>
      <c r="F22" s="19"/>
      <c r="G22" s="19" t="str">
        <f>IF('N2O_Gylle_Stald&amp;Lager'!BF57="","",'N2O_Gylle_Stald&amp;Lager'!BF57)</f>
        <v>Malkekøer, jersey Kvier o. 18. mdr.</v>
      </c>
      <c r="H22" s="19">
        <f>IF('N2O_Gylle_Stald&amp;Lager'!BG57="","",'N2O_Gylle_Stald&amp;Lager'!BG57)</f>
        <v>31.948740248693124</v>
      </c>
      <c r="I22" s="19">
        <f>IF('N2O_Gylle_Stald&amp;Lager'!BH57="","",'N2O_Gylle_Stald&amp;Lager'!BH57)</f>
        <v>48.556909288727681</v>
      </c>
      <c r="J22" s="19">
        <f>IF('N2O_Gylle_Stald&amp;Lager'!BI57="","",'N2O_Gylle_Stald&amp;Lager'!BI57)</f>
        <v>34.667117921232233</v>
      </c>
      <c r="K22" s="19">
        <f>IF('N2O_Gylle_Stald&amp;Lager'!BJ57="","",'N2O_Gylle_Stald&amp;Lager'!BJ57)</f>
        <v>244.80159428615303</v>
      </c>
      <c r="M22" s="5" t="str">
        <f>IF('EntericFer &amp; FeedCultiv'!G183="","",'EntericFer &amp; FeedCultiv'!G183)</f>
        <v>Malkekøer, jersey Kvier o. 18. mdr.</v>
      </c>
      <c r="N22" s="87">
        <f>IF('EntericFer &amp; FeedCultiv'!H183="","",'EntericFer &amp; FeedCultiv'!H183)</f>
        <v>2300.3869704808935</v>
      </c>
      <c r="O22" s="87">
        <f>IF('EntericFer &amp; FeedCultiv'!I183="","",'EntericFer &amp; FeedCultiv'!I183)</f>
        <v>2393.8088350407938</v>
      </c>
      <c r="P22" s="87"/>
      <c r="Q22" s="87" t="str">
        <f>IF('EntericFer &amp; FeedCultiv'!K183="","",'EntericFer &amp; FeedCultiv'!K183)</f>
        <v>Malkekøer, jersey Kvier o. 18. mdr.</v>
      </c>
      <c r="R22" s="87">
        <f>IF('EntericFer &amp; FeedCultiv'!L183="","",'EntericFer &amp; FeedCultiv'!L183)</f>
        <v>1367.1648518345391</v>
      </c>
      <c r="S22" s="87">
        <f>IF('EntericFer &amp; FeedCultiv'!M183="","",'EntericFer &amp; FeedCultiv'!M183)</f>
        <v>2073.5058229841879</v>
      </c>
      <c r="T22" s="51"/>
      <c r="U22" s="51"/>
    </row>
    <row r="23" spans="1:21" s="5" customFormat="1" x14ac:dyDescent="0.25">
      <c r="A23" s="5" t="str">
        <f>IF('CH4_Gylle_Stald&amp;Lager'!AU57="","",'CH4_Gylle_Stald&amp;Lager'!AU57)</f>
        <v>Malkekøer, jersey Stude</v>
      </c>
      <c r="B23" s="19">
        <f>IF('CH4_Gylle_Stald&amp;Lager'!AV57="","",'CH4_Gylle_Stald&amp;Lager'!AV57)</f>
        <v>2.0216452275985337</v>
      </c>
      <c r="C23" s="19">
        <f>IF('CH4_Gylle_Stald&amp;Lager'!AW57="","",'CH4_Gylle_Stald&amp;Lager'!AW57)</f>
        <v>161.42607147333408</v>
      </c>
      <c r="D23" s="19">
        <f>IF('CH4_Gylle_Stald&amp;Lager'!AX57="","",'CH4_Gylle_Stald&amp;Lager'!AX57)</f>
        <v>161.42607147333408</v>
      </c>
      <c r="E23" s="19">
        <f>IF('CH4_Gylle_Stald&amp;Lager'!AY57="","",'CH4_Gylle_Stald&amp;Lager'!AY57)</f>
        <v>657.99465652726667</v>
      </c>
      <c r="F23" s="19"/>
      <c r="G23" s="19" t="str">
        <f>IF('N2O_Gylle_Stald&amp;Lager'!BF58="","",'N2O_Gylle_Stald&amp;Lager'!BF58)</f>
        <v>Malkekøer, jersey Stude</v>
      </c>
      <c r="H23" s="19">
        <f>IF('N2O_Gylle_Stald&amp;Lager'!BG58="","",'N2O_Gylle_Stald&amp;Lager'!BG58)</f>
        <v>30.855929410562098</v>
      </c>
      <c r="I23" s="19">
        <f>IF('N2O_Gylle_Stald&amp;Lager'!BH58="","",'N2O_Gylle_Stald&amp;Lager'!BH58)</f>
        <v>46.98206730493807</v>
      </c>
      <c r="J23" s="19">
        <f>IF('N2O_Gylle_Stald&amp;Lager'!BI58="","",'N2O_Gylle_Stald&amp;Lager'!BI58)</f>
        <v>33.492786489067129</v>
      </c>
      <c r="K23" s="19">
        <f>IF('N2O_Gylle_Stald&amp;Lager'!BJ58="","",'N2O_Gylle_Stald&amp;Lager'!BJ58)</f>
        <v>240.95961003206727</v>
      </c>
      <c r="M23" s="5" t="str">
        <f>IF('EntericFer &amp; FeedCultiv'!G184="","",'EntericFer &amp; FeedCultiv'!G184)</f>
        <v>Malkekøer, jersey Stude</v>
      </c>
      <c r="N23" s="87">
        <f>IF('EntericFer &amp; FeedCultiv'!H184="","",'EntericFer &amp; FeedCultiv'!H184)</f>
        <v>2098.7735168527965</v>
      </c>
      <c r="O23" s="87">
        <f>IF('EntericFer &amp; FeedCultiv'!I184="","",'EntericFer &amp; FeedCultiv'!I184)</f>
        <v>2192.1953814126969</v>
      </c>
      <c r="P23" s="87"/>
      <c r="Q23" s="87" t="str">
        <f>IF('EntericFer &amp; FeedCultiv'!K184="","",'EntericFer &amp; FeedCultiv'!K184)</f>
        <v>Malkekøer, jersey Stude</v>
      </c>
      <c r="R23" s="87">
        <f>IF('EntericFer &amp; FeedCultiv'!L184="","",'EntericFer &amp; FeedCultiv'!L184)</f>
        <v>1272.0757271760001</v>
      </c>
      <c r="S23" s="87">
        <f>IF('EntericFer &amp; FeedCultiv'!M184="","",'EntericFer &amp; FeedCultiv'!M184)</f>
        <v>1978.4166983256491</v>
      </c>
      <c r="T23" s="51"/>
      <c r="U23" s="51"/>
    </row>
    <row r="24" spans="1:21" s="5" customFormat="1" x14ac:dyDescent="0.25">
      <c r="A24" s="5" t="str">
        <f>IF('CH4_Gylle_Stald&amp;Lager'!AU58="","",'CH4_Gylle_Stald&amp;Lager'!AU58)</f>
        <v>Malkekøer, jersey Køer (1year)</v>
      </c>
      <c r="B24" s="19">
        <f>IF('CH4_Gylle_Stald&amp;Lager'!AV58="","",'CH4_Gylle_Stald&amp;Lager'!AV58)</f>
        <v>3.590924275726028</v>
      </c>
      <c r="C24" s="19">
        <f>IF('CH4_Gylle_Stald&amp;Lager'!AW58="","",'CH4_Gylle_Stald&amp;Lager'!AW58)</f>
        <v>485.15165897565555</v>
      </c>
      <c r="D24" s="19">
        <f>IF('CH4_Gylle_Stald&amp;Lager'!AX58="","",'CH4_Gylle_Stald&amp;Lager'!AX58)</f>
        <v>485.15165897565555</v>
      </c>
      <c r="E24" s="19">
        <f>IF('CH4_Gylle_Stald&amp;Lager'!AY58="","",'CH4_Gylle_Stald&amp;Lager'!AY58)</f>
        <v>973.89424222703713</v>
      </c>
      <c r="F24" s="19"/>
      <c r="G24" s="19" t="str">
        <f>IF('N2O_Gylle_Stald&amp;Lager'!BF59="","",'N2O_Gylle_Stald&amp;Lager'!BF59)</f>
        <v>Malkekøer, jersey Køer (1year)</v>
      </c>
      <c r="H24" s="19">
        <f>IF('N2O_Gylle_Stald&amp;Lager'!BG59="","",'N2O_Gylle_Stald&amp;Lager'!BG59)</f>
        <v>27.680265626712323</v>
      </c>
      <c r="I24" s="19">
        <f>IF('N2O_Gylle_Stald&amp;Lager'!BH59="","",'N2O_Gylle_Stald&amp;Lager'!BH59)</f>
        <v>213.73030560241432</v>
      </c>
      <c r="J24" s="19">
        <f>IF('N2O_Gylle_Stald&amp;Lager'!BI59="","",'N2O_Gylle_Stald&amp;Lager'!BI59)</f>
        <v>225.05103697952649</v>
      </c>
      <c r="K24" s="19">
        <f>IF('N2O_Gylle_Stald&amp;Lager'!BJ59="","",'N2O_Gylle_Stald&amp;Lager'!BJ59)</f>
        <v>466.46160820865316</v>
      </c>
      <c r="M24" s="5" t="str">
        <f>IF('EntericFer &amp; FeedCultiv'!G185="","",'EntericFer &amp; FeedCultiv'!G185)</f>
        <v>Malkekøer, jersey Køer</v>
      </c>
      <c r="N24" s="87">
        <f>IF('EntericFer &amp; FeedCultiv'!H185="","",'EntericFer &amp; FeedCultiv'!H185)</f>
        <v>4235.3664407469632</v>
      </c>
      <c r="O24" s="87">
        <f>IF('EntericFer &amp; FeedCultiv'!I185="","",'EntericFer &amp; FeedCultiv'!I185)</f>
        <v>4235.3664407469632</v>
      </c>
      <c r="P24" s="87"/>
      <c r="Q24" s="87" t="str">
        <f>IF('EntericFer &amp; FeedCultiv'!K185="","",'EntericFer &amp; FeedCultiv'!K185)</f>
        <v>Malkekøer, jersey Køer</v>
      </c>
      <c r="R24" s="87">
        <f>IF('EntericFer &amp; FeedCultiv'!L185="","",'EntericFer &amp; FeedCultiv'!L185)</f>
        <v>2857.0799629718549</v>
      </c>
      <c r="S24" s="87">
        <f>IF('EntericFer &amp; FeedCultiv'!M185="","",'EntericFer &amp; FeedCultiv'!M185)</f>
        <v>2857.0799629718549</v>
      </c>
      <c r="T24" s="51"/>
      <c r="U24" s="51"/>
    </row>
    <row r="25" spans="1:21" s="5" customFormat="1" x14ac:dyDescent="0.25">
      <c r="A25" s="5" t="str">
        <f>IF('CH4_Gylle_Stald&amp;Lager'!AU59="","",'CH4_Gylle_Stald&amp;Lager'!AU59)</f>
        <v>Malkekøer, jersey Tyrekalve 0-1 mdr.</v>
      </c>
      <c r="B25" s="19">
        <f>IF('CH4_Gylle_Stald&amp;Lager'!AV59="","",'CH4_Gylle_Stald&amp;Lager'!AV59)</f>
        <v>0</v>
      </c>
      <c r="C25" s="19">
        <f>IF('CH4_Gylle_Stald&amp;Lager'!AW59="","",'CH4_Gylle_Stald&amp;Lager'!AW59)</f>
        <v>127.42257460777716</v>
      </c>
      <c r="D25" s="19">
        <f>IF('CH4_Gylle_Stald&amp;Lager'!AX59="","",'CH4_Gylle_Stald&amp;Lager'!AX59)</f>
        <v>127.42257460777716</v>
      </c>
      <c r="E25" s="19">
        <f>IF('CH4_Gylle_Stald&amp;Lager'!AY59="","",'CH4_Gylle_Stald&amp;Lager'!AY59)</f>
        <v>254.84514921555433</v>
      </c>
      <c r="F25" s="19"/>
      <c r="G25" s="19" t="str">
        <f>IF('N2O_Gylle_Stald&amp;Lager'!BF60="","",'N2O_Gylle_Stald&amp;Lager'!BF60)</f>
        <v>Malkekøer, jersey Tyrekalve 0-1 mdr.</v>
      </c>
      <c r="H25" s="19" t="str">
        <f>IF('N2O_Gylle_Stald&amp;Lager'!BG60="","",'N2O_Gylle_Stald&amp;Lager'!BG60)</f>
        <v/>
      </c>
      <c r="I25" s="19">
        <f>IF('N2O_Gylle_Stald&amp;Lager'!BH60="","",'N2O_Gylle_Stald&amp;Lager'!BH60)</f>
        <v>12.63943664253183</v>
      </c>
      <c r="J25" s="19">
        <f>IF('N2O_Gylle_Stald&amp;Lager'!BI60="","",'N2O_Gylle_Stald&amp;Lager'!BI60)</f>
        <v>4.1960987469755757</v>
      </c>
      <c r="K25" s="19">
        <f>IF('N2O_Gylle_Stald&amp;Lager'!BJ60="","",'N2O_Gylle_Stald&amp;Lager'!BJ60)</f>
        <v>16.835535389507406</v>
      </c>
      <c r="M25" s="5" t="str">
        <f>IF('EntericFer &amp; FeedCultiv'!G186="","",'EntericFer &amp; FeedCultiv'!G186)</f>
        <v>Malkekøer, jersey Tyrekalv 0-1 mdr.</v>
      </c>
      <c r="N25" s="87">
        <f>IF('EntericFer &amp; FeedCultiv'!H186="","",'EntericFer &amp; FeedCultiv'!H186)</f>
        <v>0</v>
      </c>
      <c r="O25" s="87" t="str">
        <f>IF('EntericFer &amp; FeedCultiv'!I186="","",'EntericFer &amp; FeedCultiv'!I186)</f>
        <v/>
      </c>
      <c r="P25" s="87"/>
      <c r="Q25" s="87" t="str">
        <f>IF('EntericFer &amp; FeedCultiv'!K186="","",'EntericFer &amp; FeedCultiv'!K186)</f>
        <v>Malkekøer, jersey Tyrekalv 0-1 mdr.</v>
      </c>
      <c r="R25" s="87">
        <f>IF('EntericFer &amp; FeedCultiv'!L186="","",'EntericFer &amp; FeedCultiv'!L186)</f>
        <v>225.67897657706087</v>
      </c>
      <c r="S25" s="87">
        <f>IF('EntericFer &amp; FeedCultiv'!M186="","",'EntericFer &amp; FeedCultiv'!M186)</f>
        <v>225.67897657706087</v>
      </c>
      <c r="T25" s="51"/>
      <c r="U25" s="51"/>
    </row>
    <row r="26" spans="1:21" s="5" customFormat="1" x14ac:dyDescent="0.25">
      <c r="A26" s="5" t="str">
        <f>IF('CH4_Gylle_Stald&amp;Lager'!AU60="","",'CH4_Gylle_Stald&amp;Lager'!AU60)</f>
        <v>Malkekøer, jersey Tyrekalve 0-3 mdr.</v>
      </c>
      <c r="B26" s="19" t="str">
        <f>IF('CH4_Gylle_Stald&amp;Lager'!AV60="","",'CH4_Gylle_Stald&amp;Lager'!AV60)</f>
        <v/>
      </c>
      <c r="C26" s="19" t="str">
        <f>IF('CH4_Gylle_Stald&amp;Lager'!AW60="","",'CH4_Gylle_Stald&amp;Lager'!AW60)</f>
        <v/>
      </c>
      <c r="D26" s="19" t="str">
        <f>IF('CH4_Gylle_Stald&amp;Lager'!AX60="","",'CH4_Gylle_Stald&amp;Lager'!AX60)</f>
        <v/>
      </c>
      <c r="E26" s="19" t="str">
        <f>IF('CH4_Gylle_Stald&amp;Lager'!AY60="","",'CH4_Gylle_Stald&amp;Lager'!AY60)</f>
        <v/>
      </c>
      <c r="F26" s="19"/>
      <c r="G26" s="19" t="str">
        <f>IF('N2O_Gylle_Stald&amp;Lager'!BF61="","",'N2O_Gylle_Stald&amp;Lager'!BF61)</f>
        <v>Malkekøer, jersey Tyrekalve 0-3 mdr.</v>
      </c>
      <c r="H26" s="19" t="str">
        <f>IF('N2O_Gylle_Stald&amp;Lager'!BG61="","",'N2O_Gylle_Stald&amp;Lager'!BG61)</f>
        <v/>
      </c>
      <c r="I26" s="19" t="str">
        <f>IF('N2O_Gylle_Stald&amp;Lager'!BH61="","",'N2O_Gylle_Stald&amp;Lager'!BH61)</f>
        <v/>
      </c>
      <c r="J26" s="19" t="str">
        <f>IF('N2O_Gylle_Stald&amp;Lager'!BI61="","",'N2O_Gylle_Stald&amp;Lager'!BI61)</f>
        <v/>
      </c>
      <c r="K26" s="19" t="str">
        <f>IF('N2O_Gylle_Stald&amp;Lager'!BJ61="","",'N2O_Gylle_Stald&amp;Lager'!BJ61)</f>
        <v/>
      </c>
      <c r="M26" s="5" t="str">
        <f>IF('EntericFer &amp; FeedCultiv'!G187="","",'EntericFer &amp; FeedCultiv'!G187)</f>
        <v>Tyrekalve 0-3 mdr.</v>
      </c>
      <c r="N26" s="87">
        <f>IF('EntericFer &amp; FeedCultiv'!H187="","",'EntericFer &amp; FeedCultiv'!H187)</f>
        <v>93.421864559900499</v>
      </c>
      <c r="O26" s="87">
        <f>IF('EntericFer &amp; FeedCultiv'!I187="","",'EntericFer &amp; FeedCultiv'!I187)</f>
        <v>93.421864559900499</v>
      </c>
      <c r="P26" s="87"/>
      <c r="Q26" s="87" t="str">
        <f>IF('EntericFer &amp; FeedCultiv'!K187="","",'EntericFer &amp; FeedCultiv'!K187)</f>
        <v>Tyrekalve 0-3 mdr.</v>
      </c>
      <c r="R26" s="87">
        <f>IF('EntericFer &amp; FeedCultiv'!L187="","",'EntericFer &amp; FeedCultiv'!L187)</f>
        <v>558.25226666668777</v>
      </c>
      <c r="S26" s="87">
        <f>IF('EntericFer &amp; FeedCultiv'!M187="","",'EntericFer &amp; FeedCultiv'!M187)</f>
        <v>558.25226666668777</v>
      </c>
      <c r="T26" s="51"/>
      <c r="U26" s="51"/>
    </row>
    <row r="27" spans="1:21" s="5" customFormat="1" x14ac:dyDescent="0.25">
      <c r="A27" s="5" t="str">
        <f>IF('CH4_Gylle_Stald&amp;Lager'!AU61="","",'CH4_Gylle_Stald&amp;Lager'!AU61)</f>
        <v>Malkekøer, jersey Tyrekalve 0-6 mdr.</v>
      </c>
      <c r="B27" s="19">
        <f>IF('CH4_Gylle_Stald&amp;Lager'!AV61="","",'CH4_Gylle_Stald&amp;Lager'!AV61)</f>
        <v>0</v>
      </c>
      <c r="C27" s="19">
        <f>IF('CH4_Gylle_Stald&amp;Lager'!AW61="","",'CH4_Gylle_Stald&amp;Lager'!AW61)</f>
        <v>146.8888182405</v>
      </c>
      <c r="D27" s="19">
        <f>IF('CH4_Gylle_Stald&amp;Lager'!AX61="","",'CH4_Gylle_Stald&amp;Lager'!AX61)</f>
        <v>146.8888182405</v>
      </c>
      <c r="E27" s="19">
        <f>IF('CH4_Gylle_Stald&amp;Lager'!AY61="","",'CH4_Gylle_Stald&amp;Lager'!AY61)</f>
        <v>293.777636481</v>
      </c>
      <c r="F27" s="19"/>
      <c r="G27" s="19" t="str">
        <f>IF('N2O_Gylle_Stald&amp;Lager'!BF62="","",'N2O_Gylle_Stald&amp;Lager'!BF62)</f>
        <v>Malkekøer, jersey Tyrekalve 0-6 mdr.</v>
      </c>
      <c r="H27" s="19" t="str">
        <f>IF('N2O_Gylle_Stald&amp;Lager'!BG62="","",'N2O_Gylle_Stald&amp;Lager'!BG62)</f>
        <v/>
      </c>
      <c r="I27" s="19">
        <f>IF('N2O_Gylle_Stald&amp;Lager'!BH62="","",'N2O_Gylle_Stald&amp;Lager'!BH62)</f>
        <v>49.367174999999996</v>
      </c>
      <c r="J27" s="19">
        <f>IF('N2O_Gylle_Stald&amp;Lager'!BI62="","",'N2O_Gylle_Stald&amp;Lager'!BI62)</f>
        <v>15.474286327500002</v>
      </c>
      <c r="K27" s="19">
        <f>IF('N2O_Gylle_Stald&amp;Lager'!BJ62="","",'N2O_Gylle_Stald&amp;Lager'!BJ62)</f>
        <v>64.841461327499999</v>
      </c>
      <c r="M27" s="5" t="str">
        <f>IF('EntericFer &amp; FeedCultiv'!G188="","",'EntericFer &amp; FeedCultiv'!G188)</f>
        <v>Malkekøer, jersey Tyrekalv 0-6 mdr.</v>
      </c>
      <c r="N27" s="87">
        <f>IF('EntericFer &amp; FeedCultiv'!H188="","",'EntericFer &amp; FeedCultiv'!H188)</f>
        <v>0</v>
      </c>
      <c r="O27" s="87" t="str">
        <f>IF('EntericFer &amp; FeedCultiv'!I188="","",'EntericFer &amp; FeedCultiv'!I188)</f>
        <v/>
      </c>
      <c r="P27" s="87"/>
      <c r="Q27" s="87" t="str">
        <f>IF('EntericFer &amp; FeedCultiv'!K188="","",'EntericFer &amp; FeedCultiv'!K188)</f>
        <v>Malkekøer, jersey Tyrekalv 0-6 mdr.</v>
      </c>
      <c r="R27" s="87">
        <f>IF('EntericFer &amp; FeedCultiv'!L188="","",'EntericFer &amp; FeedCultiv'!L188)</f>
        <v>0</v>
      </c>
      <c r="S27" s="87" t="str">
        <f>IF('EntericFer &amp; FeedCultiv'!M188="","",'EntericFer &amp; FeedCultiv'!M188)</f>
        <v/>
      </c>
      <c r="T27" s="51"/>
      <c r="U27" s="51"/>
    </row>
    <row r="28" spans="1:21" s="5" customFormat="1" x14ac:dyDescent="0.25">
      <c r="A28" s="5" t="str">
        <f>IF('CH4_Gylle_Stald&amp;Lager'!AU62="","",'CH4_Gylle_Stald&amp;Lager'!AU62)</f>
        <v>Malkekøer, jersey Tyre u. 12 mdr.</v>
      </c>
      <c r="B28" s="19">
        <f>IF('CH4_Gylle_Stald&amp;Lager'!AV62="","",'CH4_Gylle_Stald&amp;Lager'!AV62)</f>
        <v>0</v>
      </c>
      <c r="C28" s="19">
        <f>IF('CH4_Gylle_Stald&amp;Lager'!AW62="","",'CH4_Gylle_Stald&amp;Lager'!AW62)</f>
        <v>254.14490117641591</v>
      </c>
      <c r="D28" s="19">
        <f>IF('CH4_Gylle_Stald&amp;Lager'!AX62="","",'CH4_Gylle_Stald&amp;Lager'!AX62)</f>
        <v>254.14490117641591</v>
      </c>
      <c r="E28" s="19">
        <f>IF('CH4_Gylle_Stald&amp;Lager'!AY62="","",'CH4_Gylle_Stald&amp;Lager'!AY62)</f>
        <v>802.06743883383183</v>
      </c>
      <c r="F28" s="19"/>
      <c r="G28" s="19" t="str">
        <f>IF('N2O_Gylle_Stald&amp;Lager'!BF63="","",'N2O_Gylle_Stald&amp;Lager'!BF63)</f>
        <v>Malkekøer, jersey Tyre u. 12 mdr.</v>
      </c>
      <c r="H28" s="19">
        <f>IF('N2O_Gylle_Stald&amp;Lager'!BG63="","",'N2O_Gylle_Stald&amp;Lager'!BG63)</f>
        <v>0</v>
      </c>
      <c r="I28" s="19">
        <f>IF('N2O_Gylle_Stald&amp;Lager'!BH63="","",'N2O_Gylle_Stald&amp;Lager'!BH63)</f>
        <v>88.557025984993544</v>
      </c>
      <c r="J28" s="19">
        <f>IF('N2O_Gylle_Stald&amp;Lager'!BI63="","",'N2O_Gylle_Stald&amp;Lager'!BI63)</f>
        <v>46.485488740327725</v>
      </c>
      <c r="K28" s="19">
        <f>IF('N2O_Gylle_Stald&amp;Lager'!BJ63="","",'N2O_Gylle_Stald&amp;Lager'!BJ63)</f>
        <v>199.88397605282125</v>
      </c>
      <c r="M28" s="5" t="str">
        <f>IF('EntericFer &amp; FeedCultiv'!G189="","",'EntericFer &amp; FeedCultiv'!G189)</f>
        <v>Malkekøer, jersey Tyre u. 12 mdr.</v>
      </c>
      <c r="N28" s="87">
        <f>IF('EntericFer &amp; FeedCultiv'!H189="","",'EntericFer &amp; FeedCultiv'!H189)</f>
        <v>423.85331564381983</v>
      </c>
      <c r="O28" s="87">
        <f>IF('EntericFer &amp; FeedCultiv'!I189="","",'EntericFer &amp; FeedCultiv'!I189)</f>
        <v>517.27518020372031</v>
      </c>
      <c r="P28" s="87"/>
      <c r="Q28" s="87" t="str">
        <f>IF('EntericFer &amp; FeedCultiv'!K189="","",'EntericFer &amp; FeedCultiv'!K189)</f>
        <v>Malkekøer, jersey Tyre u. 12 mdr.</v>
      </c>
      <c r="R28" s="87">
        <f>IF('EntericFer &amp; FeedCultiv'!L189="","",'EntericFer &amp; FeedCultiv'!L189)</f>
        <v>291.87162691948146</v>
      </c>
      <c r="S28" s="87">
        <f>IF('EntericFer &amp; FeedCultiv'!M189="","",'EntericFer &amp; FeedCultiv'!M189)</f>
        <v>998.21259806913054</v>
      </c>
      <c r="T28" s="51"/>
      <c r="U28" s="51"/>
    </row>
    <row r="29" spans="1:21" s="5" customFormat="1" x14ac:dyDescent="0.25">
      <c r="A29" s="5" t="str">
        <f>IF('CH4_Gylle_Stald&amp;Lager'!AU63="","",'CH4_Gylle_Stald&amp;Lager'!AU63)</f>
        <v>Malkekøer, jersey Tyre o. 12 mdr.</v>
      </c>
      <c r="B29" s="19">
        <f>IF('CH4_Gylle_Stald&amp;Lager'!AV63="","",'CH4_Gylle_Stald&amp;Lager'!AV63)</f>
        <v>0</v>
      </c>
      <c r="C29" s="19">
        <f>IF('CH4_Gylle_Stald&amp;Lager'!AW63="","",'CH4_Gylle_Stald&amp;Lager'!AW63)</f>
        <v>273.8736457354168</v>
      </c>
      <c r="D29" s="19">
        <f>IF('CH4_Gylle_Stald&amp;Lager'!AX63="","",'CH4_Gylle_Stald&amp;Lager'!AX63)</f>
        <v>273.8736457354168</v>
      </c>
      <c r="E29" s="19">
        <f>IF('CH4_Gylle_Stald&amp;Lager'!AY63="","",'CH4_Gylle_Stald&amp;Lager'!AY63)</f>
        <v>841.52492795183366</v>
      </c>
      <c r="F29" s="19"/>
      <c r="G29" s="19" t="str">
        <f>IF('N2O_Gylle_Stald&amp;Lager'!BF64="","",'N2O_Gylle_Stald&amp;Lager'!BF64)</f>
        <v>Malkekøer, jersey Tyre o. 12 mdr.</v>
      </c>
      <c r="H29" s="19">
        <f>IF('N2O_Gylle_Stald&amp;Lager'!BG64="","",'N2O_Gylle_Stald&amp;Lager'!BG64)</f>
        <v>0</v>
      </c>
      <c r="I29" s="19">
        <f>IF('N2O_Gylle_Stald&amp;Lager'!BH64="","",'N2O_Gylle_Stald&amp;Lager'!BH64)</f>
        <v>115.46087587187802</v>
      </c>
      <c r="J29" s="19">
        <f>IF('N2O_Gylle_Stald&amp;Lager'!BI64="","",'N2O_Gylle_Stald&amp;Lager'!BI64)</f>
        <v>60.890111100039761</v>
      </c>
      <c r="K29" s="19">
        <f>IF('N2O_Gylle_Stald&amp;Lager'!BJ64="","",'N2O_Gylle_Stald&amp;Lager'!BJ64)</f>
        <v>241.19244829941778</v>
      </c>
      <c r="M29" s="5" t="str">
        <f>IF('EntericFer &amp; FeedCultiv'!G190="","",'EntericFer &amp; FeedCultiv'!G190)</f>
        <v>Malkekøer, jersey Tyre o. 12 mdr.</v>
      </c>
      <c r="N29" s="87">
        <f>IF('EntericFer &amp; FeedCultiv'!H190="","",'EntericFer &amp; FeedCultiv'!H190)</f>
        <v>1268.6247836233113</v>
      </c>
      <c r="O29" s="87">
        <f>IF('EntericFer &amp; FeedCultiv'!I190="","",'EntericFer &amp; FeedCultiv'!I190)</f>
        <v>1362.0466481832118</v>
      </c>
      <c r="P29" s="87"/>
      <c r="Q29" s="87" t="str">
        <f>IF('EntericFer &amp; FeedCultiv'!K190="","",'EntericFer &amp; FeedCultiv'!K190)</f>
        <v>Malkekøer, jersey Tyre o. 12 mdr.</v>
      </c>
      <c r="R29" s="87">
        <f>IF('EntericFer &amp; FeedCultiv'!L190="","",'EntericFer &amp; FeedCultiv'!L190)</f>
        <v>681.7571530867981</v>
      </c>
      <c r="S29" s="87">
        <f>IF('EntericFer &amp; FeedCultiv'!M190="","",'EntericFer &amp; FeedCultiv'!M190)</f>
        <v>1388.0981242364471</v>
      </c>
      <c r="T29" s="51"/>
      <c r="U29" s="51"/>
    </row>
    <row r="30" spans="1:21" s="471" customFormat="1" x14ac:dyDescent="0.25">
      <c r="S30" s="489"/>
      <c r="T30" s="488"/>
      <c r="U30" s="488"/>
    </row>
    <row r="31" spans="1:21" s="5" customFormat="1" x14ac:dyDescent="0.25">
      <c r="S31" s="44"/>
      <c r="T31" s="51"/>
      <c r="U31" s="51"/>
    </row>
    <row r="32" spans="1:21" s="5" customFormat="1" x14ac:dyDescent="0.25">
      <c r="S32" s="44"/>
      <c r="T32" s="51"/>
      <c r="U32" s="51"/>
    </row>
    <row r="33" spans="2:26" s="5" customFormat="1" x14ac:dyDescent="0.25">
      <c r="V33" s="44"/>
      <c r="W33" s="51"/>
      <c r="X33" s="51"/>
    </row>
    <row r="34" spans="2:26" s="5" customFormat="1" x14ac:dyDescent="0.25">
      <c r="V34" s="44"/>
      <c r="W34" s="51"/>
      <c r="X34" s="51"/>
    </row>
    <row r="35" spans="2:26" s="5" customFormat="1" x14ac:dyDescent="0.25">
      <c r="L35" s="357"/>
      <c r="M35" s="357"/>
      <c r="R35" s="44"/>
      <c r="S35" s="44"/>
      <c r="T35" s="44"/>
      <c r="U35" s="44"/>
    </row>
    <row r="36" spans="2:26" x14ac:dyDescent="0.25">
      <c r="B36" s="602"/>
      <c r="C36" s="603" t="s">
        <v>423</v>
      </c>
      <c r="D36" s="604" t="s">
        <v>420</v>
      </c>
      <c r="E36" s="604"/>
      <c r="F36" s="603" t="s">
        <v>418</v>
      </c>
      <c r="G36" s="605" t="s">
        <v>419</v>
      </c>
      <c r="L36" s="511"/>
      <c r="M36" s="511"/>
      <c r="Q36" s="614"/>
      <c r="R36" s="615" t="s">
        <v>420</v>
      </c>
      <c r="S36" s="616"/>
      <c r="T36" s="617" t="s">
        <v>418</v>
      </c>
      <c r="U36" s="618" t="s">
        <v>419</v>
      </c>
      <c r="V36" s="5"/>
    </row>
    <row r="37" spans="2:26" x14ac:dyDescent="0.25">
      <c r="B37" s="606"/>
      <c r="C37" s="600" t="s">
        <v>448</v>
      </c>
      <c r="D37" s="600" t="s">
        <v>424</v>
      </c>
      <c r="E37" s="600" t="s">
        <v>564</v>
      </c>
      <c r="F37" s="600" t="s">
        <v>425</v>
      </c>
      <c r="G37" s="607" t="s">
        <v>426</v>
      </c>
      <c r="J37" s="49" t="s">
        <v>667</v>
      </c>
      <c r="K37" s="50" t="s">
        <v>640</v>
      </c>
      <c r="L37" s="195"/>
      <c r="M37" s="511"/>
      <c r="Q37" s="619"/>
      <c r="R37" s="343" t="s">
        <v>424</v>
      </c>
      <c r="S37" s="343" t="s">
        <v>564</v>
      </c>
      <c r="T37" s="343" t="s">
        <v>425</v>
      </c>
      <c r="U37" s="620" t="s">
        <v>426</v>
      </c>
      <c r="V37" s="5"/>
    </row>
    <row r="38" spans="2:26" x14ac:dyDescent="0.25">
      <c r="B38" s="609"/>
      <c r="C38" s="612" t="s">
        <v>558</v>
      </c>
      <c r="D38" s="612" t="s">
        <v>558</v>
      </c>
      <c r="E38" s="612" t="s">
        <v>558</v>
      </c>
      <c r="F38" s="612" t="s">
        <v>558</v>
      </c>
      <c r="G38" s="613" t="s">
        <v>558</v>
      </c>
      <c r="I38" t="str">
        <f>Q39</f>
        <v>Malkekøer, tung race Kalve 0-1 mdr</v>
      </c>
      <c r="J38" s="671">
        <v>64</v>
      </c>
      <c r="K38" s="679">
        <v>25000</v>
      </c>
      <c r="L38" s="511"/>
      <c r="M38" s="511"/>
      <c r="Q38" s="621"/>
      <c r="R38" s="622" t="s">
        <v>558</v>
      </c>
      <c r="S38" s="622" t="s">
        <v>558</v>
      </c>
      <c r="T38" s="622" t="s">
        <v>558</v>
      </c>
      <c r="U38" s="623" t="s">
        <v>558</v>
      </c>
      <c r="V38" s="5"/>
    </row>
    <row r="39" spans="2:26" x14ac:dyDescent="0.25">
      <c r="B39" s="606" t="str">
        <f>A5</f>
        <v>Malkekøer, tung race Kalve 0-1 mdr</v>
      </c>
      <c r="C39" s="600"/>
      <c r="D39" s="601">
        <f t="shared" ref="D39:D63" si="0">_xlfn.AGGREGATE(9,6,B5,H5)</f>
        <v>0</v>
      </c>
      <c r="E39" s="601">
        <f t="shared" ref="E39:E63" si="1">_xlfn.AGGREGATE(9,6,C5,I5,D5,J5)</f>
        <v>444.06072526658772</v>
      </c>
      <c r="F39" s="601" t="str">
        <f t="shared" ref="F39:F63" si="2">N5</f>
        <v/>
      </c>
      <c r="G39" s="608">
        <f t="shared" ref="G39:G63" si="3">R5</f>
        <v>359.80033632604847</v>
      </c>
      <c r="I39" t="str">
        <f t="shared" ref="I39:I46" si="4">Q40</f>
        <v>Malkekøer, tung race Kvier u. 18. mdr.</v>
      </c>
      <c r="J39" s="673">
        <v>210</v>
      </c>
      <c r="K39" s="665">
        <v>5922</v>
      </c>
      <c r="L39" s="511"/>
      <c r="M39" s="511"/>
      <c r="Q39" s="614" t="str">
        <f>B39</f>
        <v>Malkekøer, tung race Kalve 0-1 mdr</v>
      </c>
      <c r="R39" s="625">
        <f>D39</f>
        <v>0</v>
      </c>
      <c r="S39" s="625">
        <f>E39</f>
        <v>444.06072526658772</v>
      </c>
      <c r="T39" s="625" t="str">
        <f>F39</f>
        <v/>
      </c>
      <c r="U39" s="626">
        <f>G39</f>
        <v>359.80033632604847</v>
      </c>
      <c r="V39" s="5"/>
      <c r="Z39" s="39"/>
    </row>
    <row r="40" spans="2:26" x14ac:dyDescent="0.25">
      <c r="B40" s="606" t="str">
        <f t="shared" ref="B40:B63" si="5">A6</f>
        <v>Malkekøer, tung race Kalve 0-3 mdr.</v>
      </c>
      <c r="C40" s="600"/>
      <c r="D40" s="601">
        <f t="shared" si="0"/>
        <v>0</v>
      </c>
      <c r="E40" s="601">
        <f t="shared" si="1"/>
        <v>0</v>
      </c>
      <c r="F40" s="601">
        <f t="shared" si="2"/>
        <v>74.693359576762816</v>
      </c>
      <c r="G40" s="608">
        <f t="shared" si="3"/>
        <v>706.34097114964902</v>
      </c>
      <c r="I40" t="str">
        <f t="shared" si="4"/>
        <v>Malkekøer, tung race Kvier o. 18. mdr.</v>
      </c>
      <c r="J40" s="673">
        <v>290</v>
      </c>
      <c r="K40" s="665">
        <v>14239</v>
      </c>
      <c r="L40" s="511"/>
      <c r="M40" s="511"/>
      <c r="Q40" s="619" t="str">
        <f>B42</f>
        <v>Malkekøer, tung race Kvier u. 18. mdr.</v>
      </c>
      <c r="R40" s="508">
        <f t="shared" ref="R40:S42" si="6">D42+D$41</f>
        <v>36.057365649813555</v>
      </c>
      <c r="S40" s="508">
        <f t="shared" si="6"/>
        <v>1093.0713074607384</v>
      </c>
      <c r="T40" s="543">
        <f t="shared" ref="T40:U42" si="7">F42+F$40</f>
        <v>1623.2504310880265</v>
      </c>
      <c r="U40" s="627">
        <f t="shared" si="7"/>
        <v>1704.0324137803395</v>
      </c>
      <c r="V40" s="5"/>
      <c r="Z40" s="39"/>
    </row>
    <row r="41" spans="2:26" x14ac:dyDescent="0.25">
      <c r="B41" s="606" t="str">
        <f t="shared" si="5"/>
        <v>Malkekøer, tung race Kalve 0-6 mdr.</v>
      </c>
      <c r="C41" s="601"/>
      <c r="D41" s="601">
        <f t="shared" si="0"/>
        <v>0</v>
      </c>
      <c r="E41" s="601">
        <f t="shared" si="1"/>
        <v>595.48096440271468</v>
      </c>
      <c r="F41" s="601" t="str">
        <f t="shared" si="2"/>
        <v/>
      </c>
      <c r="G41" s="608">
        <f t="shared" si="3"/>
        <v>0</v>
      </c>
      <c r="I41" t="str">
        <f t="shared" si="4"/>
        <v>Malkekøer, tung race Stude</v>
      </c>
      <c r="J41" s="673">
        <v>301</v>
      </c>
      <c r="K41" s="665">
        <v>964</v>
      </c>
      <c r="L41" s="511"/>
      <c r="M41" s="511"/>
      <c r="Q41" s="619" t="str">
        <f>B43</f>
        <v>Malkekøer, tung race Kvier o. 18. mdr.</v>
      </c>
      <c r="R41" s="508">
        <f t="shared" si="6"/>
        <v>44.246142616773021</v>
      </c>
      <c r="S41" s="508">
        <f t="shared" si="6"/>
        <v>1128.6069827079491</v>
      </c>
      <c r="T41" s="543">
        <f t="shared" si="7"/>
        <v>3037.9541304131103</v>
      </c>
      <c r="U41" s="627">
        <f t="shared" si="7"/>
        <v>2513.8655740748218</v>
      </c>
      <c r="V41" s="5"/>
      <c r="Z41" s="39"/>
    </row>
    <row r="42" spans="2:26" x14ac:dyDescent="0.25">
      <c r="B42" s="606" t="str">
        <f t="shared" si="5"/>
        <v>Malkekøer, tung race Kvier u. 18. mdr.</v>
      </c>
      <c r="C42" s="601"/>
      <c r="D42" s="601">
        <f t="shared" si="0"/>
        <v>36.057365649813555</v>
      </c>
      <c r="E42" s="601">
        <f t="shared" si="1"/>
        <v>497.59034305802368</v>
      </c>
      <c r="F42" s="601">
        <f t="shared" si="2"/>
        <v>1548.5570715112638</v>
      </c>
      <c r="G42" s="608">
        <f t="shared" si="3"/>
        <v>997.69144263069063</v>
      </c>
      <c r="I42" t="str">
        <f t="shared" si="4"/>
        <v>Malkekøer, tung race Køer -tk (1year)</v>
      </c>
      <c r="J42" s="673">
        <v>322.89999999999998</v>
      </c>
      <c r="K42" s="665">
        <v>121500</v>
      </c>
      <c r="L42" s="511"/>
      <c r="M42" s="511"/>
      <c r="Q42" s="619" t="str">
        <f>B44</f>
        <v>Malkekøer, tung race Stude</v>
      </c>
      <c r="R42" s="508">
        <f t="shared" si="6"/>
        <v>44.246142616773021</v>
      </c>
      <c r="S42" s="508">
        <f t="shared" si="6"/>
        <v>1131.9306253448797</v>
      </c>
      <c r="T42" s="543">
        <f t="shared" si="7"/>
        <v>2881.0154400388328</v>
      </c>
      <c r="U42" s="627">
        <f t="shared" si="7"/>
        <v>2876.522918972697</v>
      </c>
      <c r="V42" s="5"/>
      <c r="Z42" s="39"/>
    </row>
    <row r="43" spans="2:26" x14ac:dyDescent="0.25">
      <c r="B43" s="606" t="str">
        <f t="shared" si="5"/>
        <v>Malkekøer, tung race Kvier o. 18. mdr.</v>
      </c>
      <c r="C43" s="601"/>
      <c r="D43" s="601">
        <f t="shared" si="0"/>
        <v>44.246142616773021</v>
      </c>
      <c r="E43" s="601">
        <f t="shared" si="1"/>
        <v>533.12601830523454</v>
      </c>
      <c r="F43" s="601">
        <f t="shared" si="2"/>
        <v>2963.2607708363475</v>
      </c>
      <c r="G43" s="608">
        <f t="shared" si="3"/>
        <v>1807.5246029251728</v>
      </c>
      <c r="I43" s="359" t="str">
        <f t="shared" si="4"/>
        <v>Malkekøer, tung race Køer -tk</v>
      </c>
      <c r="J43" s="673">
        <f>J42</f>
        <v>322.89999999999998</v>
      </c>
      <c r="K43" s="665">
        <f>K42</f>
        <v>121500</v>
      </c>
      <c r="O43" t="s">
        <v>688</v>
      </c>
      <c r="Q43" s="619" t="str">
        <f>B45</f>
        <v>Malkekøer, tung race Køer -tk (1year)</v>
      </c>
      <c r="R43" s="344">
        <f>D45</f>
        <v>37.923556308246582</v>
      </c>
      <c r="S43" s="344">
        <f>E45</f>
        <v>1698.7793027379009</v>
      </c>
      <c r="T43" s="344">
        <f>F45</f>
        <v>4904.0906036520291</v>
      </c>
      <c r="U43" s="628">
        <f>G45</f>
        <v>3283.902444312153</v>
      </c>
      <c r="V43" s="5"/>
    </row>
    <row r="44" spans="2:26" x14ac:dyDescent="0.25">
      <c r="B44" s="606" t="str">
        <f t="shared" si="5"/>
        <v>Malkekøer, tung race Stude</v>
      </c>
      <c r="C44" s="600"/>
      <c r="D44" s="601">
        <f t="shared" si="0"/>
        <v>44.246142616773021</v>
      </c>
      <c r="E44" s="601">
        <f t="shared" si="1"/>
        <v>536.449660942165</v>
      </c>
      <c r="F44" s="601">
        <f t="shared" si="2"/>
        <v>2806.3220804620701</v>
      </c>
      <c r="G44" s="608">
        <f t="shared" si="3"/>
        <v>2170.1819478230477</v>
      </c>
      <c r="I44" t="str">
        <f t="shared" si="4"/>
        <v>Malkekøer, tung race Tyrekalve 0-1 mdr.</v>
      </c>
      <c r="J44" s="673">
        <v>64</v>
      </c>
      <c r="K44" s="665">
        <v>25000</v>
      </c>
      <c r="L44" s="511"/>
      <c r="M44" s="511"/>
      <c r="O44" s="704">
        <f>(K67-J67)/12</f>
        <v>2.9583333333333335</v>
      </c>
      <c r="P44" s="624" t="s">
        <v>668</v>
      </c>
      <c r="Q44" s="619" t="str">
        <f>LEFT(Q43, LEN(Q43) - 8)</f>
        <v>Malkekøer, tung race Køer -tk</v>
      </c>
      <c r="R44" s="544">
        <f>R41+R43*$O44</f>
        <v>156.43666336200249</v>
      </c>
      <c r="S44" s="544">
        <f t="shared" ref="S44:U44" si="8">S41+S43*$O44</f>
        <v>6154.16241997424</v>
      </c>
      <c r="T44" s="544">
        <f t="shared" si="8"/>
        <v>17545.888832883698</v>
      </c>
      <c r="U44" s="629">
        <f t="shared" si="8"/>
        <v>12228.743638498276</v>
      </c>
      <c r="V44" s="5"/>
      <c r="Z44" s="39"/>
    </row>
    <row r="45" spans="2:26" x14ac:dyDescent="0.25">
      <c r="B45" s="606" t="str">
        <f t="shared" si="5"/>
        <v>Malkekøer, tung race Køer -tk (1year)</v>
      </c>
      <c r="C45" s="601"/>
      <c r="D45" s="601">
        <f t="shared" si="0"/>
        <v>37.923556308246582</v>
      </c>
      <c r="E45" s="601">
        <f t="shared" si="1"/>
        <v>1698.7793027379009</v>
      </c>
      <c r="F45" s="601">
        <f t="shared" si="2"/>
        <v>4904.0906036520291</v>
      </c>
      <c r="G45" s="608">
        <f t="shared" si="3"/>
        <v>3283.902444312153</v>
      </c>
      <c r="I45" t="str">
        <f t="shared" si="4"/>
        <v>Malkekøer, tung race Tyre u. 12 mdr.</v>
      </c>
      <c r="J45" s="673">
        <v>210</v>
      </c>
      <c r="K45" s="665">
        <v>106742</v>
      </c>
      <c r="L45" s="511"/>
      <c r="M45" s="511"/>
      <c r="Q45" s="619" t="str">
        <f>B46</f>
        <v>Malkekøer, tung race Tyrekalve 0-1 mdr.</v>
      </c>
      <c r="R45" s="344">
        <f>D46</f>
        <v>0</v>
      </c>
      <c r="S45" s="344">
        <f>E46</f>
        <v>319.8296099974956</v>
      </c>
      <c r="T45" s="344" t="str">
        <f>F46</f>
        <v/>
      </c>
      <c r="U45" s="628">
        <f>G46</f>
        <v>359.80033632604847</v>
      </c>
      <c r="V45" s="5"/>
      <c r="Z45" s="39"/>
    </row>
    <row r="46" spans="2:26" x14ac:dyDescent="0.25">
      <c r="B46" s="606" t="str">
        <f t="shared" si="5"/>
        <v>Malkekøer, tung race Tyrekalve 0-1 mdr.</v>
      </c>
      <c r="C46" s="601"/>
      <c r="D46" s="601">
        <f t="shared" si="0"/>
        <v>0</v>
      </c>
      <c r="E46" s="601">
        <f t="shared" si="1"/>
        <v>319.8296099974956</v>
      </c>
      <c r="F46" s="601" t="str">
        <f t="shared" si="2"/>
        <v/>
      </c>
      <c r="G46" s="608">
        <f t="shared" si="3"/>
        <v>359.80033632604847</v>
      </c>
      <c r="I46" t="str">
        <f t="shared" si="4"/>
        <v>Malkekøer, tung race Tyre o. 12 mdr.</v>
      </c>
      <c r="J46" s="673">
        <v>256</v>
      </c>
      <c r="K46" s="665">
        <v>23557</v>
      </c>
      <c r="L46" s="511"/>
      <c r="M46" s="511"/>
      <c r="Q46" s="619" t="str">
        <f>B49</f>
        <v>Malkekøer, tung race Tyre u. 12 mdr.</v>
      </c>
      <c r="R46" s="508">
        <f>D49+D$48</f>
        <v>0</v>
      </c>
      <c r="S46" s="508">
        <f>E49+E$48</f>
        <v>1140.8720706586716</v>
      </c>
      <c r="T46" s="543">
        <f>F49+F$47</f>
        <v>689.11498533050462</v>
      </c>
      <c r="U46" s="627">
        <f>G49+G$47</f>
        <v>1133.4534186208568</v>
      </c>
      <c r="V46" s="5"/>
      <c r="Z46" s="39"/>
    </row>
    <row r="47" spans="2:26" x14ac:dyDescent="0.25">
      <c r="B47" s="606" t="str">
        <f t="shared" si="5"/>
        <v>Malkekøer, tung race Tyrekalve 0-3 mdr.</v>
      </c>
      <c r="C47" s="601"/>
      <c r="D47" s="601">
        <f t="shared" si="0"/>
        <v>0</v>
      </c>
      <c r="E47" s="601">
        <f t="shared" si="1"/>
        <v>0</v>
      </c>
      <c r="F47" s="601">
        <f t="shared" si="2"/>
        <v>74.693359576762816</v>
      </c>
      <c r="G47" s="608">
        <f t="shared" si="3"/>
        <v>706.34097114964902</v>
      </c>
      <c r="I47" s="5"/>
      <c r="J47" s="97"/>
      <c r="K47" s="184"/>
      <c r="L47" s="5"/>
      <c r="Q47" s="619" t="str">
        <f>B50</f>
        <v>Malkekøer, tung race Tyre o. 12 mdr.</v>
      </c>
      <c r="R47" s="508">
        <f>D50+D$48</f>
        <v>0</v>
      </c>
      <c r="S47" s="508">
        <f>E50+E$48</f>
        <v>1250.2131633394356</v>
      </c>
      <c r="T47" s="543">
        <f>F50+F$47</f>
        <v>1097.5563161855455</v>
      </c>
      <c r="U47" s="627">
        <f>G50+G$47</f>
        <v>1415.2938946786098</v>
      </c>
      <c r="V47" s="5"/>
    </row>
    <row r="48" spans="2:26" x14ac:dyDescent="0.25">
      <c r="B48" s="606" t="str">
        <f t="shared" si="5"/>
        <v>Malkekøer, tung race Tyrekalve 0-6 mdr.</v>
      </c>
      <c r="C48" s="600"/>
      <c r="D48" s="601">
        <f t="shared" si="0"/>
        <v>0</v>
      </c>
      <c r="E48" s="601">
        <f t="shared" si="1"/>
        <v>462.67750276762501</v>
      </c>
      <c r="F48" s="601" t="str">
        <f t="shared" si="2"/>
        <v/>
      </c>
      <c r="G48" s="608">
        <f t="shared" si="3"/>
        <v>0</v>
      </c>
      <c r="I48" t="str">
        <f>Q49</f>
        <v>Malkekøer, jersey Kalve 0-1 mdr.</v>
      </c>
      <c r="J48" s="673">
        <v>43</v>
      </c>
      <c r="K48" s="665">
        <v>0</v>
      </c>
      <c r="L48" s="5"/>
      <c r="Q48" s="21"/>
      <c r="R48" s="5"/>
      <c r="S48" s="5"/>
      <c r="T48" s="5"/>
      <c r="U48" s="18"/>
      <c r="V48" s="5"/>
    </row>
    <row r="49" spans="2:26" x14ac:dyDescent="0.25">
      <c r="B49" s="606" t="str">
        <f t="shared" si="5"/>
        <v>Malkekøer, tung race Tyre u. 12 mdr.</v>
      </c>
      <c r="C49" s="600"/>
      <c r="D49" s="601">
        <f t="shared" si="0"/>
        <v>0</v>
      </c>
      <c r="E49" s="601">
        <f t="shared" si="1"/>
        <v>678.19456789104663</v>
      </c>
      <c r="F49" s="601">
        <f t="shared" si="2"/>
        <v>614.42162575374186</v>
      </c>
      <c r="G49" s="608">
        <f t="shared" si="3"/>
        <v>427.11244747120776</v>
      </c>
      <c r="I49" t="str">
        <f t="shared" ref="I49:I56" si="9">Q50</f>
        <v>Malkekøer, jersey Kvier u. 18. mdr.</v>
      </c>
      <c r="J49" s="673">
        <v>167</v>
      </c>
      <c r="K49" s="665">
        <v>673</v>
      </c>
      <c r="L49" s="5"/>
      <c r="Q49" s="619" t="str">
        <f>B52</f>
        <v>Malkekøer, jersey Kalve 0-1 mdr.</v>
      </c>
      <c r="R49" s="344">
        <f>D52</f>
        <v>0</v>
      </c>
      <c r="S49" s="344">
        <f>E52</f>
        <v>430.10354627083728</v>
      </c>
      <c r="T49" s="344">
        <f>F52</f>
        <v>0</v>
      </c>
      <c r="U49" s="628">
        <f>G52</f>
        <v>225.67897657706087</v>
      </c>
    </row>
    <row r="50" spans="2:26" x14ac:dyDescent="0.25">
      <c r="B50" s="606" t="str">
        <f t="shared" si="5"/>
        <v>Malkekøer, tung race Tyre o. 12 mdr.</v>
      </c>
      <c r="C50" s="601"/>
      <c r="D50" s="601">
        <f t="shared" si="0"/>
        <v>0</v>
      </c>
      <c r="E50" s="601">
        <f t="shared" si="1"/>
        <v>787.53566057181058</v>
      </c>
      <c r="F50" s="601">
        <f t="shared" si="2"/>
        <v>1022.8629566087826</v>
      </c>
      <c r="G50" s="608">
        <f t="shared" si="3"/>
        <v>708.95292352896081</v>
      </c>
      <c r="I50" t="str">
        <f t="shared" si="9"/>
        <v>Malkekøer, jersey Kvier o. 18. mdr.</v>
      </c>
      <c r="J50" s="673">
        <v>206</v>
      </c>
      <c r="K50" s="665">
        <v>2061</v>
      </c>
      <c r="L50" s="5"/>
      <c r="Q50" s="619" t="str">
        <f>B55</f>
        <v>Malkekøer, jersey Kvier u. 18. mdr.</v>
      </c>
      <c r="R50" s="508">
        <f t="shared" ref="R50:S52" si="10">D55+D$54</f>
        <v>27.17809139430614</v>
      </c>
      <c r="S50" s="508">
        <f t="shared" si="10"/>
        <v>838.99420853718209</v>
      </c>
      <c r="T50" s="543">
        <f t="shared" ref="T50:U52" si="11">F55+F$53</f>
        <v>1093.2655177969843</v>
      </c>
      <c r="U50" s="627">
        <f t="shared" si="11"/>
        <v>1175.4097159569865</v>
      </c>
      <c r="Z50" s="39"/>
    </row>
    <row r="51" spans="2:26" x14ac:dyDescent="0.25">
      <c r="B51" s="606" t="str">
        <f t="shared" si="5"/>
        <v/>
      </c>
      <c r="C51" s="601"/>
      <c r="D51" s="601">
        <f t="shared" si="0"/>
        <v>0</v>
      </c>
      <c r="E51" s="601">
        <f t="shared" si="1"/>
        <v>0</v>
      </c>
      <c r="F51" s="601" t="str">
        <f t="shared" si="2"/>
        <v/>
      </c>
      <c r="G51" s="608" t="str">
        <f t="shared" si="3"/>
        <v/>
      </c>
      <c r="I51" t="str">
        <f t="shared" si="9"/>
        <v>Malkekøer, jersey Stude</v>
      </c>
      <c r="J51" s="673">
        <v>206</v>
      </c>
      <c r="K51" s="665">
        <v>340</v>
      </c>
      <c r="L51" s="5"/>
      <c r="Q51" s="619" t="str">
        <f>B56</f>
        <v>Malkekøer, jersey Kvier o. 18. mdr.</v>
      </c>
      <c r="R51" s="508">
        <f t="shared" si="10"/>
        <v>34.041985193356709</v>
      </c>
      <c r="S51" s="508">
        <f t="shared" si="10"/>
        <v>868.40630232654075</v>
      </c>
      <c r="T51" s="543">
        <f t="shared" si="11"/>
        <v>2393.8088350407938</v>
      </c>
      <c r="U51" s="627">
        <f t="shared" si="11"/>
        <v>1925.4171185012269</v>
      </c>
      <c r="Z51" s="39"/>
    </row>
    <row r="52" spans="2:26" x14ac:dyDescent="0.25">
      <c r="B52" s="606" t="str">
        <f t="shared" si="5"/>
        <v>Malkekøer, jersey Kalve 0-1 mdr.</v>
      </c>
      <c r="C52" s="601"/>
      <c r="D52" s="601">
        <f t="shared" si="0"/>
        <v>0</v>
      </c>
      <c r="E52" s="601">
        <f t="shared" si="1"/>
        <v>430.10354627083728</v>
      </c>
      <c r="F52" s="601">
        <f t="shared" si="2"/>
        <v>0</v>
      </c>
      <c r="G52" s="608">
        <f t="shared" si="3"/>
        <v>225.67897657706087</v>
      </c>
      <c r="I52" t="str">
        <f t="shared" si="9"/>
        <v>Malkekøer, jersey Køer (1year)</v>
      </c>
      <c r="J52" s="673">
        <v>199</v>
      </c>
      <c r="K52" s="665">
        <v>16521</v>
      </c>
      <c r="Q52" s="619" t="str">
        <f>B57</f>
        <v>Malkekøer, jersey Stude</v>
      </c>
      <c r="R52" s="508">
        <f t="shared" si="10"/>
        <v>32.877574638160631</v>
      </c>
      <c r="S52" s="508">
        <f t="shared" si="10"/>
        <v>866.07669192117339</v>
      </c>
      <c r="T52" s="543">
        <f t="shared" si="11"/>
        <v>2192.1953814126969</v>
      </c>
      <c r="U52" s="627">
        <f t="shared" si="11"/>
        <v>1830.3279938426879</v>
      </c>
      <c r="Z52" s="39"/>
    </row>
    <row r="53" spans="2:26" x14ac:dyDescent="0.25">
      <c r="B53" s="606" t="str">
        <f t="shared" si="5"/>
        <v>Malkekøer, jersey Kalve 0-3 mdr.</v>
      </c>
      <c r="C53" s="601"/>
      <c r="D53" s="601">
        <f t="shared" si="0"/>
        <v>0</v>
      </c>
      <c r="E53" s="601">
        <f t="shared" si="1"/>
        <v>0</v>
      </c>
      <c r="F53" s="601">
        <f t="shared" si="2"/>
        <v>93.421864559900499</v>
      </c>
      <c r="G53" s="608">
        <f t="shared" si="3"/>
        <v>558.25226666668777</v>
      </c>
      <c r="I53" s="359" t="str">
        <f t="shared" si="9"/>
        <v>Malkekøer, jersey Køer</v>
      </c>
      <c r="J53" s="673">
        <f>J52</f>
        <v>199</v>
      </c>
      <c r="K53" s="665">
        <f>K52</f>
        <v>16521</v>
      </c>
      <c r="Q53" s="619" t="str">
        <f>B58</f>
        <v>Malkekøer, jersey Køer (1year)</v>
      </c>
      <c r="R53" s="344">
        <f>D58</f>
        <v>31.271189902438351</v>
      </c>
      <c r="S53" s="344">
        <f>E58</f>
        <v>1409.084660533252</v>
      </c>
      <c r="T53" s="344">
        <f>F58</f>
        <v>4235.3664407469632</v>
      </c>
      <c r="U53" s="628">
        <f>G58</f>
        <v>2857.0799629718549</v>
      </c>
      <c r="Z53" s="39"/>
    </row>
    <row r="54" spans="2:26" x14ac:dyDescent="0.25">
      <c r="B54" s="606" t="str">
        <f t="shared" si="5"/>
        <v>Malkekøer, jersey Kalve 0-6 mdr.</v>
      </c>
      <c r="C54" s="601"/>
      <c r="D54" s="601">
        <f t="shared" si="0"/>
        <v>0</v>
      </c>
      <c r="E54" s="601">
        <f t="shared" si="1"/>
        <v>462.7496951805</v>
      </c>
      <c r="F54" s="601">
        <f t="shared" si="2"/>
        <v>0</v>
      </c>
      <c r="G54" s="608">
        <f t="shared" si="3"/>
        <v>0</v>
      </c>
      <c r="I54" t="str">
        <f t="shared" si="9"/>
        <v>Malkekøer, jersey Tyrekalve 0-1 mdr.</v>
      </c>
      <c r="J54" s="673">
        <v>43</v>
      </c>
      <c r="K54" s="665">
        <v>0</v>
      </c>
      <c r="O54" s="704">
        <f>(K85-J85)/12</f>
        <v>3.0750000000000006</v>
      </c>
      <c r="P54" s="624" t="s">
        <v>668</v>
      </c>
      <c r="Q54" s="619" t="str">
        <f>LEFT(Q53, LEN(Q53) - 8)</f>
        <v>Malkekøer, jersey Køer</v>
      </c>
      <c r="R54" s="544">
        <f>R51+R53*$O54</f>
        <v>130.20089414335467</v>
      </c>
      <c r="S54" s="544">
        <f t="shared" ref="S54" si="12">S51+S53*$O54</f>
        <v>5201.3416334662916</v>
      </c>
      <c r="T54" s="544">
        <f t="shared" ref="T54" si="13">T51+T53*$O54</f>
        <v>15417.56064033771</v>
      </c>
      <c r="U54" s="629">
        <f t="shared" ref="U54" si="14">U51+U53*$O54</f>
        <v>10710.938004639684</v>
      </c>
      <c r="Z54" s="39"/>
    </row>
    <row r="55" spans="2:26" x14ac:dyDescent="0.25">
      <c r="B55" s="606" t="str">
        <f t="shared" si="5"/>
        <v>Malkekøer, jersey Kvier u. 18. mdr.</v>
      </c>
      <c r="C55" s="601"/>
      <c r="D55" s="601">
        <f t="shared" si="0"/>
        <v>27.17809139430614</v>
      </c>
      <c r="E55" s="601">
        <f t="shared" si="1"/>
        <v>376.24451335668209</v>
      </c>
      <c r="F55" s="601">
        <f t="shared" si="2"/>
        <v>999.8436532370838</v>
      </c>
      <c r="G55" s="608">
        <f t="shared" si="3"/>
        <v>617.15744929029881</v>
      </c>
      <c r="I55" t="str">
        <f t="shared" si="9"/>
        <v>Malkekøer, jersey Tyre u. 12 mdr.</v>
      </c>
      <c r="J55" s="673">
        <v>189</v>
      </c>
      <c r="K55" s="665">
        <v>1229</v>
      </c>
      <c r="Q55" s="619" t="str">
        <f>B59</f>
        <v>Malkekøer, jersey Tyrekalve 0-1 mdr.</v>
      </c>
      <c r="R55" s="344">
        <f>D59</f>
        <v>0</v>
      </c>
      <c r="S55" s="344">
        <f>E59</f>
        <v>271.68068460506169</v>
      </c>
      <c r="T55" s="344">
        <f>F59</f>
        <v>0</v>
      </c>
      <c r="U55" s="628">
        <f>G59</f>
        <v>225.67897657706087</v>
      </c>
      <c r="Z55" s="39"/>
    </row>
    <row r="56" spans="2:26" x14ac:dyDescent="0.25">
      <c r="B56" s="606" t="str">
        <f t="shared" si="5"/>
        <v>Malkekøer, jersey Kvier o. 18. mdr.</v>
      </c>
      <c r="C56" s="601"/>
      <c r="D56" s="601">
        <f t="shared" si="0"/>
        <v>34.041985193356709</v>
      </c>
      <c r="E56" s="601">
        <f t="shared" si="1"/>
        <v>405.65660714604076</v>
      </c>
      <c r="F56" s="601">
        <f t="shared" si="2"/>
        <v>2300.3869704808935</v>
      </c>
      <c r="G56" s="608">
        <f t="shared" si="3"/>
        <v>1367.1648518345391</v>
      </c>
      <c r="I56" t="str">
        <f t="shared" si="9"/>
        <v>Malkekøer, jersey Tyre o. 12 mdr.</v>
      </c>
      <c r="J56" s="672">
        <v>219</v>
      </c>
      <c r="K56" s="666">
        <v>2071</v>
      </c>
      <c r="Q56" s="619" t="str">
        <f>B62</f>
        <v>Malkekøer, jersey Tyre u. 12 mdr.</v>
      </c>
      <c r="R56" s="508">
        <f>D62+D$61</f>
        <v>0</v>
      </c>
      <c r="S56" s="508">
        <f>E62+E$61</f>
        <v>1001.9514148866531</v>
      </c>
      <c r="T56" s="543">
        <f>F62+F$60</f>
        <v>517.27518020372031</v>
      </c>
      <c r="U56" s="627">
        <f>G62+G$60</f>
        <v>850.12389358616929</v>
      </c>
      <c r="Z56" s="39"/>
    </row>
    <row r="57" spans="2:26" x14ac:dyDescent="0.25">
      <c r="B57" s="606" t="str">
        <f t="shared" si="5"/>
        <v>Malkekøer, jersey Stude</v>
      </c>
      <c r="C57" s="601"/>
      <c r="D57" s="601">
        <f t="shared" si="0"/>
        <v>32.877574638160631</v>
      </c>
      <c r="E57" s="601">
        <f t="shared" si="1"/>
        <v>403.32699674067339</v>
      </c>
      <c r="F57" s="601">
        <f t="shared" si="2"/>
        <v>2098.7735168527965</v>
      </c>
      <c r="G57" s="608">
        <f t="shared" si="3"/>
        <v>1272.0757271760001</v>
      </c>
      <c r="Q57" s="621" t="str">
        <f>B63</f>
        <v>Malkekøer, jersey Tyre o. 12 mdr.</v>
      </c>
      <c r="R57" s="630">
        <f>D63+D$61</f>
        <v>0</v>
      </c>
      <c r="S57" s="630">
        <f>E63+E$61</f>
        <v>1082.7173762512516</v>
      </c>
      <c r="T57" s="631">
        <f>F63+F$60</f>
        <v>1362.0466481832118</v>
      </c>
      <c r="U57" s="632">
        <f>G63+G$60</f>
        <v>1240.0094197534859</v>
      </c>
      <c r="Z57" s="39"/>
    </row>
    <row r="58" spans="2:26" x14ac:dyDescent="0.25">
      <c r="B58" s="606" t="str">
        <f t="shared" si="5"/>
        <v>Malkekøer, jersey Køer (1year)</v>
      </c>
      <c r="C58" s="601"/>
      <c r="D58" s="601">
        <f t="shared" si="0"/>
        <v>31.271189902438351</v>
      </c>
      <c r="E58" s="601">
        <f t="shared" si="1"/>
        <v>1409.084660533252</v>
      </c>
      <c r="F58" s="601">
        <f t="shared" si="2"/>
        <v>4235.3664407469632</v>
      </c>
      <c r="G58" s="608">
        <f t="shared" si="3"/>
        <v>2857.0799629718549</v>
      </c>
      <c r="Z58" s="39"/>
    </row>
    <row r="59" spans="2:26" x14ac:dyDescent="0.25">
      <c r="B59" s="606" t="str">
        <f t="shared" si="5"/>
        <v>Malkekøer, jersey Tyrekalve 0-1 mdr.</v>
      </c>
      <c r="C59" s="601"/>
      <c r="D59" s="601">
        <f t="shared" si="0"/>
        <v>0</v>
      </c>
      <c r="E59" s="601">
        <f t="shared" si="1"/>
        <v>271.68068460506169</v>
      </c>
      <c r="F59" s="601">
        <f t="shared" si="2"/>
        <v>0</v>
      </c>
      <c r="G59" s="608">
        <f t="shared" si="3"/>
        <v>225.67897657706087</v>
      </c>
      <c r="J59" t="str">
        <f>'EntericFer &amp; FeedCultiv'!H126</f>
        <v>entry month</v>
      </c>
      <c r="K59" t="str">
        <f>'EntericFer &amp; FeedCultiv'!I126</f>
        <v>exit month</v>
      </c>
      <c r="Z59" s="39"/>
    </row>
    <row r="60" spans="2:26" x14ac:dyDescent="0.25">
      <c r="B60" s="606" t="str">
        <f t="shared" si="5"/>
        <v>Malkekøer, jersey Tyrekalve 0-3 mdr.</v>
      </c>
      <c r="C60" s="601"/>
      <c r="D60" s="601">
        <f t="shared" si="0"/>
        <v>0</v>
      </c>
      <c r="E60" s="601">
        <f t="shared" si="1"/>
        <v>0</v>
      </c>
      <c r="F60" s="601">
        <f t="shared" si="2"/>
        <v>93.421864559900499</v>
      </c>
      <c r="G60" s="608">
        <f t="shared" si="3"/>
        <v>558.25226666668777</v>
      </c>
      <c r="I60">
        <f>'EntericFer &amp; FeedCultiv'!G127</f>
        <v>0</v>
      </c>
      <c r="J60" t="str">
        <f>'EntericFer &amp; FeedCultiv'!H127</f>
        <v>month</v>
      </c>
      <c r="K60" t="str">
        <f>'EntericFer &amp; FeedCultiv'!I127</f>
        <v>month</v>
      </c>
      <c r="Q60" s="633"/>
      <c r="R60" s="634" t="str">
        <f t="shared" ref="R60:U61" si="15">R36</f>
        <v>GWP impacts from manure (incl. grazing, housing and manure tank)</v>
      </c>
      <c r="S60" s="634">
        <f t="shared" si="15"/>
        <v>0</v>
      </c>
      <c r="T60" s="634" t="str">
        <f t="shared" si="15"/>
        <v>GWP impacts from enteric fermentation</v>
      </c>
      <c r="U60" s="635" t="str">
        <f t="shared" si="15"/>
        <v>GWP impacts from feed</v>
      </c>
      <c r="Z60" s="39"/>
    </row>
    <row r="61" spans="2:26" x14ac:dyDescent="0.25">
      <c r="B61" s="606" t="str">
        <f t="shared" si="5"/>
        <v>Malkekøer, jersey Tyrekalve 0-6 mdr.</v>
      </c>
      <c r="C61" s="601"/>
      <c r="D61" s="601">
        <f t="shared" si="0"/>
        <v>0</v>
      </c>
      <c r="E61" s="601">
        <f t="shared" si="1"/>
        <v>358.61909780850004</v>
      </c>
      <c r="F61" s="601">
        <f t="shared" si="2"/>
        <v>0</v>
      </c>
      <c r="G61" s="608">
        <f t="shared" si="3"/>
        <v>0</v>
      </c>
      <c r="I61" s="25" t="str">
        <f>'EntericFer &amp; FeedCultiv'!G128</f>
        <v>Malkekøer, tung race Kalve 0-1 mdr.</v>
      </c>
      <c r="J61" s="465">
        <f>'EntericFer &amp; FeedCultiv'!H128</f>
        <v>0</v>
      </c>
      <c r="K61" s="466">
        <f>'EntericFer &amp; FeedCultiv'!I128</f>
        <v>1</v>
      </c>
      <c r="L61" s="467"/>
      <c r="M61" s="5"/>
      <c r="Q61" s="636"/>
      <c r="R61" s="597" t="str">
        <f t="shared" si="15"/>
        <v>m_grazing</v>
      </c>
      <c r="S61" s="597" t="str">
        <f t="shared" si="15"/>
        <v>m_housing+tank</v>
      </c>
      <c r="T61" s="597" t="str">
        <f t="shared" si="15"/>
        <v>ent.ferm</v>
      </c>
      <c r="U61" s="637" t="str">
        <f t="shared" si="15"/>
        <v>feed</v>
      </c>
      <c r="Z61" s="39"/>
    </row>
    <row r="62" spans="2:26" x14ac:dyDescent="0.25">
      <c r="B62" s="606" t="str">
        <f t="shared" si="5"/>
        <v>Malkekøer, jersey Tyre u. 12 mdr.</v>
      </c>
      <c r="C62" s="601"/>
      <c r="D62" s="601">
        <f t="shared" si="0"/>
        <v>0</v>
      </c>
      <c r="E62" s="601">
        <f t="shared" si="1"/>
        <v>643.3323170781531</v>
      </c>
      <c r="F62" s="601">
        <f t="shared" si="2"/>
        <v>423.85331564381983</v>
      </c>
      <c r="G62" s="608">
        <f t="shared" si="3"/>
        <v>291.87162691948146</v>
      </c>
      <c r="I62" s="21" t="str">
        <f>'EntericFer &amp; FeedCultiv'!G129</f>
        <v>Kalve 0-3 mdr.</v>
      </c>
      <c r="J62" s="87">
        <f>'EntericFer &amp; FeedCultiv'!H129</f>
        <v>0</v>
      </c>
      <c r="K62" s="19">
        <f>'EntericFer &amp; FeedCultiv'!I129</f>
        <v>3</v>
      </c>
      <c r="L62" s="468"/>
      <c r="M62" s="5"/>
      <c r="N62" s="5"/>
      <c r="Q62" s="638"/>
      <c r="R62" s="639" t="s">
        <v>567</v>
      </c>
      <c r="S62" s="639" t="s">
        <v>567</v>
      </c>
      <c r="T62" s="639" t="s">
        <v>567</v>
      </c>
      <c r="U62" s="640" t="s">
        <v>567</v>
      </c>
      <c r="Z62" s="39"/>
    </row>
    <row r="63" spans="2:26" x14ac:dyDescent="0.25">
      <c r="B63" s="609" t="str">
        <f t="shared" si="5"/>
        <v>Malkekøer, jersey Tyre o. 12 mdr.</v>
      </c>
      <c r="C63" s="610"/>
      <c r="D63" s="610">
        <f t="shared" si="0"/>
        <v>0</v>
      </c>
      <c r="E63" s="610">
        <f t="shared" si="1"/>
        <v>724.09827844275151</v>
      </c>
      <c r="F63" s="610">
        <f t="shared" si="2"/>
        <v>1268.6247836233113</v>
      </c>
      <c r="G63" s="611">
        <f t="shared" si="3"/>
        <v>681.7571530867981</v>
      </c>
      <c r="I63" s="21" t="str">
        <f>'EntericFer &amp; FeedCultiv'!G130</f>
        <v>Malkekøer, tung race Kalve 0-6 mdr.</v>
      </c>
      <c r="J63" s="87">
        <f>'EntericFer &amp; FeedCultiv'!H130</f>
        <v>0</v>
      </c>
      <c r="K63" s="19">
        <f>'EntericFer &amp; FeedCultiv'!I130</f>
        <v>0</v>
      </c>
      <c r="L63" s="468"/>
      <c r="M63" s="5"/>
      <c r="N63" s="5"/>
      <c r="Q63" s="633" t="str">
        <f t="shared" ref="Q63:Q71" si="16">Q39</f>
        <v>Malkekøer, tung race Kalve 0-1 mdr</v>
      </c>
      <c r="R63" s="642">
        <f t="shared" ref="R63:U66" si="17">R39/$J38</f>
        <v>0</v>
      </c>
      <c r="S63" s="642">
        <f t="shared" si="17"/>
        <v>6.9384488322904332</v>
      </c>
      <c r="T63" s="642" t="e">
        <f t="shared" si="17"/>
        <v>#VALUE!</v>
      </c>
      <c r="U63" s="643">
        <f t="shared" si="17"/>
        <v>5.6218802550945073</v>
      </c>
      <c r="Z63" s="39"/>
    </row>
    <row r="64" spans="2:26" s="134" customFormat="1" x14ac:dyDescent="0.25">
      <c r="B64" s="7"/>
      <c r="C64" s="464"/>
      <c r="D64" s="464"/>
      <c r="E64" s="464"/>
      <c r="F64" s="464"/>
      <c r="G64" s="464"/>
      <c r="H64"/>
      <c r="I64" s="21" t="str">
        <f>'EntericFer &amp; FeedCultiv'!G131</f>
        <v>Malkekøer, tung race Kvier u. 18. mdr.</v>
      </c>
      <c r="J64" s="87">
        <f>'EntericFer &amp; FeedCultiv'!H131</f>
        <v>3</v>
      </c>
      <c r="K64" s="19">
        <f>'EntericFer &amp; FeedCultiv'!I131</f>
        <v>14.2</v>
      </c>
      <c r="L64" s="468"/>
      <c r="M64" s="5"/>
      <c r="N64" s="5"/>
      <c r="O64" s="7"/>
      <c r="Q64" s="636" t="str">
        <f t="shared" si="16"/>
        <v>Malkekøer, tung race Kvier u. 18. mdr.</v>
      </c>
      <c r="R64" s="598">
        <f t="shared" si="17"/>
        <v>0.17170174118958836</v>
      </c>
      <c r="S64" s="598">
        <f t="shared" si="17"/>
        <v>5.2051014640987541</v>
      </c>
      <c r="T64" s="598">
        <f t="shared" si="17"/>
        <v>7.7297639575620307</v>
      </c>
      <c r="U64" s="644">
        <f t="shared" si="17"/>
        <v>8.1144400656206646</v>
      </c>
    </row>
    <row r="65" spans="2:23" s="134" customFormat="1" x14ac:dyDescent="0.25">
      <c r="B65" s="7"/>
      <c r="C65" s="7"/>
      <c r="D65" s="7"/>
      <c r="E65" s="7"/>
      <c r="F65" s="7"/>
      <c r="G65" s="7"/>
      <c r="H65" s="7"/>
      <c r="I65" s="21" t="str">
        <f>'EntericFer &amp; FeedCultiv'!G132</f>
        <v>Malkekøer, tung race Kvier o. 18. mdr.</v>
      </c>
      <c r="J65" s="87">
        <f>'EntericFer &amp; FeedCultiv'!H132</f>
        <v>3</v>
      </c>
      <c r="K65" s="19">
        <f>'EntericFer &amp; FeedCultiv'!I132</f>
        <v>24.8</v>
      </c>
      <c r="L65" s="468"/>
      <c r="M65" s="16"/>
      <c r="N65" s="5"/>
      <c r="Q65" s="636" t="str">
        <f t="shared" si="16"/>
        <v>Malkekøer, tung race Kvier o. 18. mdr.</v>
      </c>
      <c r="R65" s="598">
        <f t="shared" si="17"/>
        <v>0.15257290557507938</v>
      </c>
      <c r="S65" s="598">
        <f t="shared" si="17"/>
        <v>3.8917482162343071</v>
      </c>
      <c r="T65" s="598">
        <f t="shared" si="17"/>
        <v>10.475703897976242</v>
      </c>
      <c r="U65" s="644">
        <f t="shared" si="17"/>
        <v>8.6685019795683509</v>
      </c>
      <c r="V65" s="7"/>
      <c r="W65" s="7"/>
    </row>
    <row r="66" spans="2:23" s="134" customFormat="1" x14ac:dyDescent="0.25">
      <c r="B66" s="7"/>
      <c r="C66" s="7"/>
      <c r="D66" s="7"/>
      <c r="E66" s="7"/>
      <c r="F66" s="7"/>
      <c r="G66" s="7"/>
      <c r="H66" s="7"/>
      <c r="I66" s="21" t="str">
        <f>'EntericFer &amp; FeedCultiv'!G133</f>
        <v>Malkekøer, tung race Stude</v>
      </c>
      <c r="J66" s="87">
        <f>'EntericFer &amp; FeedCultiv'!H133</f>
        <v>3</v>
      </c>
      <c r="K66" s="19">
        <f>'EntericFer &amp; FeedCultiv'!I133</f>
        <v>24.8</v>
      </c>
      <c r="L66" s="468"/>
      <c r="M66" s="16"/>
      <c r="N66" s="5"/>
      <c r="Q66" s="636" t="str">
        <f t="shared" si="16"/>
        <v>Malkekøer, tung race Stude</v>
      </c>
      <c r="R66" s="598">
        <f t="shared" si="17"/>
        <v>0.14699715155074095</v>
      </c>
      <c r="S66" s="598">
        <f t="shared" si="17"/>
        <v>3.7605668616108958</v>
      </c>
      <c r="T66" s="598">
        <f t="shared" si="17"/>
        <v>9.5714798672386472</v>
      </c>
      <c r="U66" s="644">
        <f t="shared" si="17"/>
        <v>9.5565545480820493</v>
      </c>
      <c r="V66" s="7"/>
      <c r="W66" s="7"/>
    </row>
    <row r="67" spans="2:23" s="134" customFormat="1" x14ac:dyDescent="0.25">
      <c r="B67" s="7"/>
      <c r="C67" s="7"/>
      <c r="D67" s="7"/>
      <c r="E67" s="7"/>
      <c r="F67" s="7"/>
      <c r="G67" s="7"/>
      <c r="H67" s="7"/>
      <c r="I67" s="21" t="str">
        <f>'EntericFer &amp; FeedCultiv'!G134</f>
        <v>Malkekøer, tung race Køer (1year)</v>
      </c>
      <c r="J67" s="87">
        <f>'EntericFer &amp; FeedCultiv'!H134</f>
        <v>24.8</v>
      </c>
      <c r="K67" s="19">
        <f>'EntericFer &amp; FeedCultiv'!I134</f>
        <v>60.3</v>
      </c>
      <c r="L67" s="468"/>
      <c r="M67" s="5"/>
      <c r="N67" s="5"/>
      <c r="Q67" s="636" t="str">
        <f t="shared" si="16"/>
        <v>Malkekøer, tung race Køer -tk (1year)</v>
      </c>
      <c r="R67" s="599">
        <f t="shared" ref="R67:U68" si="18">R43/$J42*$O$72</f>
        <v>1.4093610272497956E-2</v>
      </c>
      <c r="S67" s="599">
        <f t="shared" si="18"/>
        <v>0.631320892934494</v>
      </c>
      <c r="T67" s="599">
        <f t="shared" si="18"/>
        <v>1.8225174123203578</v>
      </c>
      <c r="U67" s="645">
        <f t="shared" si="18"/>
        <v>1.2204035098094097</v>
      </c>
      <c r="V67" s="7"/>
      <c r="W67" s="7"/>
    </row>
    <row r="68" spans="2:23" s="134" customFormat="1" x14ac:dyDescent="0.25">
      <c r="B68" s="7"/>
      <c r="C68" s="223"/>
      <c r="D68" s="223"/>
      <c r="E68" s="223"/>
      <c r="F68" s="223"/>
      <c r="G68" s="223"/>
      <c r="H68" s="223"/>
      <c r="I68" s="21" t="str">
        <f>'EntericFer &amp; FeedCultiv'!G136</f>
        <v>Tyrekalve 0-3 mdr.</v>
      </c>
      <c r="J68" s="87">
        <f>'EntericFer &amp; FeedCultiv'!H136</f>
        <v>0</v>
      </c>
      <c r="K68" s="19">
        <f>'EntericFer &amp; FeedCultiv'!I136</f>
        <v>3</v>
      </c>
      <c r="L68" s="468"/>
      <c r="M68" s="5"/>
      <c r="N68" s="5"/>
      <c r="Q68" s="636" t="str">
        <f t="shared" si="16"/>
        <v>Malkekøer, tung race Køer -tk</v>
      </c>
      <c r="R68" s="599">
        <f t="shared" si="18"/>
        <v>5.8136883256241251E-2</v>
      </c>
      <c r="S68" s="599">
        <f t="shared" si="18"/>
        <v>2.2870842068656203</v>
      </c>
      <c r="T68" s="599">
        <f t="shared" si="18"/>
        <v>6.5206152367483545</v>
      </c>
      <c r="U68" s="645">
        <f t="shared" si="18"/>
        <v>4.5445934859702488</v>
      </c>
      <c r="V68" s="223"/>
      <c r="W68" s="7"/>
    </row>
    <row r="69" spans="2:23" s="134" customFormat="1" x14ac:dyDescent="0.25">
      <c r="B69" s="7"/>
      <c r="C69" s="223"/>
      <c r="D69" s="223"/>
      <c r="E69" s="223"/>
      <c r="F69" s="223"/>
      <c r="G69" s="223"/>
      <c r="H69" s="223"/>
      <c r="I69" s="21" t="str">
        <f>'EntericFer &amp; FeedCultiv'!G137</f>
        <v>Malkekøer, tung race Tyrekalve 0-6 mdr.</v>
      </c>
      <c r="J69" s="87">
        <f>'EntericFer &amp; FeedCultiv'!H137</f>
        <v>0</v>
      </c>
      <c r="K69" s="19">
        <f>'EntericFer &amp; FeedCultiv'!I137</f>
        <v>0</v>
      </c>
      <c r="L69" s="468"/>
      <c r="M69" s="5"/>
      <c r="N69" s="5"/>
      <c r="Q69" s="636" t="str">
        <f t="shared" si="16"/>
        <v>Malkekøer, tung race Tyrekalve 0-1 mdr.</v>
      </c>
      <c r="R69" s="598">
        <f t="shared" ref="R69:U71" si="19">R45/$J44</f>
        <v>0</v>
      </c>
      <c r="S69" s="598">
        <f t="shared" si="19"/>
        <v>4.9973376562108687</v>
      </c>
      <c r="T69" s="598" t="e">
        <f t="shared" si="19"/>
        <v>#VALUE!</v>
      </c>
      <c r="U69" s="644">
        <f t="shared" si="19"/>
        <v>5.6218802550945073</v>
      </c>
      <c r="V69" s="223"/>
      <c r="W69" s="7"/>
    </row>
    <row r="70" spans="2:23" s="134" customFormat="1" x14ac:dyDescent="0.25">
      <c r="B70" s="7"/>
      <c r="C70" s="223"/>
      <c r="D70" s="223"/>
      <c r="E70" s="223"/>
      <c r="F70" s="223"/>
      <c r="G70" s="223"/>
      <c r="H70" s="223"/>
      <c r="I70" s="21" t="str">
        <f>'EntericFer &amp; FeedCultiv'!G138</f>
        <v>Malkekøer, tung race Tyre u. 12 mdr.</v>
      </c>
      <c r="J70" s="87">
        <f>'EntericFer &amp; FeedCultiv'!H138</f>
        <v>3</v>
      </c>
      <c r="K70" s="19">
        <f>'EntericFer &amp; FeedCultiv'!I138</f>
        <v>10.199999999999999</v>
      </c>
      <c r="L70" s="468"/>
      <c r="M70" s="5"/>
      <c r="N70" s="5"/>
      <c r="Q70" s="636" t="str">
        <f t="shared" si="16"/>
        <v>Malkekøer, tung race Tyre u. 12 mdr.</v>
      </c>
      <c r="R70" s="598">
        <f t="shared" si="19"/>
        <v>0</v>
      </c>
      <c r="S70" s="598">
        <f t="shared" si="19"/>
        <v>5.4327241459936744</v>
      </c>
      <c r="T70" s="598">
        <f t="shared" si="19"/>
        <v>3.2814999301452601</v>
      </c>
      <c r="U70" s="644">
        <f t="shared" si="19"/>
        <v>5.39739723152789</v>
      </c>
      <c r="V70" s="223"/>
      <c r="W70" s="7"/>
    </row>
    <row r="71" spans="2:23" s="134" customFormat="1" x14ac:dyDescent="0.25">
      <c r="B71" s="7"/>
      <c r="C71" s="223"/>
      <c r="D71" s="223"/>
      <c r="E71" s="223"/>
      <c r="F71" s="223"/>
      <c r="G71" s="223"/>
      <c r="H71" s="509"/>
      <c r="I71" s="29" t="str">
        <f>'EntericFer &amp; FeedCultiv'!G139</f>
        <v>Malkekøer, tung race Tyre o. 12 mdr.</v>
      </c>
      <c r="J71" s="384">
        <f>'EntericFer &amp; FeedCultiv'!H139</f>
        <v>3</v>
      </c>
      <c r="K71" s="224">
        <f>'EntericFer &amp; FeedCultiv'!I139</f>
        <v>14.6</v>
      </c>
      <c r="L71" s="469"/>
      <c r="M71" s="5"/>
      <c r="N71" s="5"/>
      <c r="Q71" s="636" t="str">
        <f t="shared" si="16"/>
        <v>Malkekøer, tung race Tyre o. 12 mdr.</v>
      </c>
      <c r="R71" s="598">
        <f t="shared" si="19"/>
        <v>0</v>
      </c>
      <c r="S71" s="598">
        <f t="shared" si="19"/>
        <v>4.8836451692946703</v>
      </c>
      <c r="T71" s="598">
        <f t="shared" si="19"/>
        <v>4.287329360099787</v>
      </c>
      <c r="U71" s="644">
        <f t="shared" si="19"/>
        <v>5.5284917760883197</v>
      </c>
      <c r="V71" s="223"/>
      <c r="W71" s="7"/>
    </row>
    <row r="72" spans="2:23" s="134" customFormat="1" x14ac:dyDescent="0.25">
      <c r="B72" s="7"/>
      <c r="C72" s="509"/>
      <c r="D72" s="509"/>
      <c r="E72" s="509"/>
      <c r="F72" s="509"/>
      <c r="G72" s="509"/>
      <c r="H72" s="510"/>
      <c r="I72" s="5"/>
      <c r="J72" s="87"/>
      <c r="K72" s="19"/>
      <c r="L72" s="19"/>
      <c r="M72" s="7"/>
      <c r="O72" s="705">
        <v>0.12</v>
      </c>
      <c r="P72" s="641" t="s">
        <v>568</v>
      </c>
      <c r="Q72" s="38"/>
      <c r="R72" s="223"/>
      <c r="S72" s="223"/>
      <c r="T72" s="223"/>
      <c r="U72" s="646"/>
      <c r="V72" s="223"/>
      <c r="W72" s="7"/>
    </row>
    <row r="73" spans="2:23" s="134" customFormat="1" x14ac:dyDescent="0.25">
      <c r="B73" s="7"/>
      <c r="C73" s="223"/>
      <c r="D73" s="223"/>
      <c r="E73" s="223"/>
      <c r="F73" s="223"/>
      <c r="G73" s="223"/>
      <c r="H73" s="223"/>
      <c r="I73" s="5"/>
      <c r="J73" s="87"/>
      <c r="K73" s="19"/>
      <c r="L73" s="19"/>
      <c r="Q73" s="636" t="str">
        <f t="shared" ref="Q73:Q81" si="20">Q49</f>
        <v>Malkekøer, jersey Kalve 0-1 mdr.</v>
      </c>
      <c r="R73" s="598">
        <f t="shared" ref="R73:U76" si="21">R49/$J48</f>
        <v>0</v>
      </c>
      <c r="S73" s="598">
        <f t="shared" si="21"/>
        <v>10.00240805281017</v>
      </c>
      <c r="T73" s="598">
        <f t="shared" si="21"/>
        <v>0</v>
      </c>
      <c r="U73" s="644">
        <f t="shared" si="21"/>
        <v>5.248348292489788</v>
      </c>
      <c r="V73" s="223"/>
      <c r="W73" s="7"/>
    </row>
    <row r="74" spans="2:23" s="134" customFormat="1" x14ac:dyDescent="0.25">
      <c r="B74" s="7"/>
      <c r="C74" s="223"/>
      <c r="D74" s="223"/>
      <c r="E74" s="223"/>
      <c r="F74" s="223"/>
      <c r="G74" s="223"/>
      <c r="H74" s="223"/>
      <c r="I74" s="5"/>
      <c r="J74" s="87"/>
      <c r="K74" s="19"/>
      <c r="L74" s="19"/>
      <c r="Q74" s="636" t="str">
        <f t="shared" si="20"/>
        <v>Malkekøer, jersey Kvier u. 18. mdr.</v>
      </c>
      <c r="R74" s="598">
        <f t="shared" si="21"/>
        <v>0.16274306224135413</v>
      </c>
      <c r="S74" s="598">
        <f t="shared" si="21"/>
        <v>5.0239174163903115</v>
      </c>
      <c r="T74" s="598">
        <f t="shared" si="21"/>
        <v>6.5465001065687689</v>
      </c>
      <c r="U74" s="644">
        <f t="shared" si="21"/>
        <v>7.0383815326765653</v>
      </c>
      <c r="V74" s="223"/>
      <c r="W74" s="7"/>
    </row>
    <row r="75" spans="2:23" s="134" customFormat="1" x14ac:dyDescent="0.25">
      <c r="B75" s="7"/>
      <c r="C75" s="223"/>
      <c r="D75" s="223"/>
      <c r="E75" s="223"/>
      <c r="F75" s="223"/>
      <c r="G75" s="223"/>
      <c r="H75" s="223"/>
      <c r="I75" s="5"/>
      <c r="J75" s="87"/>
      <c r="K75" s="19"/>
      <c r="L75" s="19"/>
      <c r="Q75" s="636" t="str">
        <f t="shared" si="20"/>
        <v>Malkekøer, jersey Kvier o. 18. mdr.</v>
      </c>
      <c r="R75" s="598">
        <f t="shared" si="21"/>
        <v>0.16525235530755683</v>
      </c>
      <c r="S75" s="598">
        <f t="shared" si="21"/>
        <v>4.2155645744006831</v>
      </c>
      <c r="T75" s="598">
        <f t="shared" si="21"/>
        <v>11.620431238062107</v>
      </c>
      <c r="U75" s="644">
        <f t="shared" si="21"/>
        <v>9.346685041268092</v>
      </c>
      <c r="V75" s="7"/>
      <c r="W75" s="7"/>
    </row>
    <row r="76" spans="2:23" s="134" customFormat="1" x14ac:dyDescent="0.25">
      <c r="B76" s="7"/>
      <c r="C76" s="7"/>
      <c r="D76" s="7"/>
      <c r="E76" s="7"/>
      <c r="F76" s="7"/>
      <c r="G76" s="7"/>
      <c r="H76" s="7"/>
      <c r="I76" s="5"/>
      <c r="J76" s="87"/>
      <c r="K76" s="19"/>
      <c r="L76" s="19"/>
      <c r="Q76" s="636" t="str">
        <f t="shared" si="20"/>
        <v>Malkekøer, jersey Stude</v>
      </c>
      <c r="R76" s="598">
        <f t="shared" si="21"/>
        <v>0.1595998768842749</v>
      </c>
      <c r="S76" s="598">
        <f t="shared" si="21"/>
        <v>4.2042557860251133</v>
      </c>
      <c r="T76" s="598">
        <f t="shared" si="21"/>
        <v>10.641725152488819</v>
      </c>
      <c r="U76" s="644">
        <f t="shared" si="21"/>
        <v>8.8850873487509112</v>
      </c>
      <c r="V76" s="7"/>
      <c r="W76" s="7"/>
    </row>
    <row r="77" spans="2:23" s="134" customFormat="1" x14ac:dyDescent="0.25">
      <c r="B77" s="7"/>
      <c r="C77" s="7"/>
      <c r="D77" s="7"/>
      <c r="E77" s="77"/>
      <c r="F77" s="7"/>
      <c r="G77" s="7"/>
      <c r="H77" s="7"/>
      <c r="I77" s="5"/>
      <c r="J77" s="87"/>
      <c r="K77" s="19"/>
      <c r="L77" s="19"/>
      <c r="Q77" s="636" t="str">
        <f t="shared" si="20"/>
        <v>Malkekøer, jersey Køer (1year)</v>
      </c>
      <c r="R77" s="599">
        <f t="shared" ref="R77:U78" si="22">R53/$J52*$O$72</f>
        <v>1.8856998936143728E-2</v>
      </c>
      <c r="S77" s="599">
        <f t="shared" si="22"/>
        <v>0.84969929278387046</v>
      </c>
      <c r="T77" s="599">
        <f t="shared" si="22"/>
        <v>2.5539898135157566</v>
      </c>
      <c r="U77" s="645">
        <f t="shared" si="22"/>
        <v>1.7228622892292591</v>
      </c>
      <c r="V77" s="7"/>
      <c r="W77" s="7"/>
    </row>
    <row r="78" spans="2:23" s="134" customFormat="1" x14ac:dyDescent="0.25">
      <c r="B78" s="7"/>
      <c r="C78" s="7"/>
      <c r="D78" s="7"/>
      <c r="E78" s="7"/>
      <c r="F78" s="7"/>
      <c r="G78" s="7"/>
      <c r="H78" s="7"/>
      <c r="I78" s="5"/>
      <c r="J78" s="87"/>
      <c r="K78" s="19"/>
      <c r="L78" s="19"/>
      <c r="Q78" s="636" t="str">
        <f t="shared" si="20"/>
        <v>Malkekøer, jersey Køer</v>
      </c>
      <c r="R78" s="599">
        <f t="shared" si="22"/>
        <v>7.8513101995992762E-2</v>
      </c>
      <c r="S78" s="599">
        <f t="shared" si="22"/>
        <v>3.1364874171656028</v>
      </c>
      <c r="T78" s="599">
        <f t="shared" si="22"/>
        <v>9.2970214916609297</v>
      </c>
      <c r="U78" s="645">
        <f t="shared" si="22"/>
        <v>6.458857088224935</v>
      </c>
      <c r="V78" s="223"/>
      <c r="W78" s="7"/>
    </row>
    <row r="79" spans="2:23" s="134" customFormat="1" x14ac:dyDescent="0.25">
      <c r="B79" s="7"/>
      <c r="C79" s="7"/>
      <c r="D79" s="7"/>
      <c r="E79" s="7"/>
      <c r="F79" s="7"/>
      <c r="G79" s="7"/>
      <c r="H79" s="7"/>
      <c r="I79" s="25" t="str">
        <f>'EntericFer &amp; FeedCultiv'!G147</f>
        <v>Malkekøer, jersey Kalve 0-1 mdr.</v>
      </c>
      <c r="J79" s="465">
        <f>'EntericFer &amp; FeedCultiv'!H147</f>
        <v>0</v>
      </c>
      <c r="K79" s="466">
        <f>'EntericFer &amp; FeedCultiv'!I147</f>
        <v>1</v>
      </c>
      <c r="L79" s="467"/>
      <c r="Q79" s="636" t="str">
        <f t="shared" si="20"/>
        <v>Malkekøer, jersey Tyrekalve 0-1 mdr.</v>
      </c>
      <c r="R79" s="598">
        <f t="shared" ref="R79:U81" si="23">R55/$J54</f>
        <v>0</v>
      </c>
      <c r="S79" s="598">
        <f t="shared" si="23"/>
        <v>6.3181554559316675</v>
      </c>
      <c r="T79" s="598">
        <f t="shared" si="23"/>
        <v>0</v>
      </c>
      <c r="U79" s="644">
        <f t="shared" si="23"/>
        <v>5.248348292489788</v>
      </c>
      <c r="V79" s="223"/>
    </row>
    <row r="80" spans="2:23" s="134" customFormat="1" x14ac:dyDescent="0.25">
      <c r="B80" s="7"/>
      <c r="C80" s="7"/>
      <c r="D80" s="7"/>
      <c r="E80" s="7"/>
      <c r="F80" s="7"/>
      <c r="G80" s="7"/>
      <c r="H80" s="7"/>
      <c r="I80" s="21" t="str">
        <f>'EntericFer &amp; FeedCultiv'!G148</f>
        <v>Kalve 0-3 mdr.</v>
      </c>
      <c r="J80" s="87">
        <f>'EntericFer &amp; FeedCultiv'!H148</f>
        <v>0</v>
      </c>
      <c r="K80" s="19">
        <f>'EntericFer &amp; FeedCultiv'!I148</f>
        <v>3</v>
      </c>
      <c r="L80" s="468"/>
      <c r="Q80" s="636" t="str">
        <f t="shared" si="20"/>
        <v>Malkekøer, jersey Tyre u. 12 mdr.</v>
      </c>
      <c r="R80" s="598">
        <f t="shared" si="23"/>
        <v>0</v>
      </c>
      <c r="S80" s="598">
        <f t="shared" si="23"/>
        <v>5.3013302374955193</v>
      </c>
      <c r="T80" s="598">
        <f t="shared" si="23"/>
        <v>2.7369057153635996</v>
      </c>
      <c r="U80" s="644">
        <f t="shared" si="23"/>
        <v>4.4980100189744405</v>
      </c>
      <c r="V80" s="7"/>
    </row>
    <row r="81" spans="1:22" s="134" customFormat="1" x14ac:dyDescent="0.25">
      <c r="B81" s="7"/>
      <c r="C81" s="7"/>
      <c r="D81" s="7"/>
      <c r="E81" s="7"/>
      <c r="F81" s="7"/>
      <c r="G81" s="7"/>
      <c r="H81" s="7"/>
      <c r="I81" s="21" t="str">
        <f>'EntericFer &amp; FeedCultiv'!G149</f>
        <v>Malkekøer, jersey Kalve 0-6 mdr.</v>
      </c>
      <c r="J81" s="87" t="str">
        <f>'EntericFer &amp; FeedCultiv'!H149</f>
        <v/>
      </c>
      <c r="K81" s="19">
        <f>'EntericFer &amp; FeedCultiv'!I149</f>
        <v>6</v>
      </c>
      <c r="L81" s="468"/>
      <c r="Q81" s="638" t="str">
        <f t="shared" si="20"/>
        <v>Malkekøer, jersey Tyre o. 12 mdr.</v>
      </c>
      <c r="R81" s="647">
        <f t="shared" si="23"/>
        <v>0</v>
      </c>
      <c r="S81" s="647">
        <f t="shared" si="23"/>
        <v>4.9439149600513774</v>
      </c>
      <c r="T81" s="647">
        <f t="shared" si="23"/>
        <v>6.2193910875945742</v>
      </c>
      <c r="U81" s="648">
        <f t="shared" si="23"/>
        <v>5.6621434691939996</v>
      </c>
      <c r="V81" s="144"/>
    </row>
    <row r="82" spans="1:22" s="134" customFormat="1" x14ac:dyDescent="0.25">
      <c r="B82" s="7"/>
      <c r="C82" s="7"/>
      <c r="D82" s="7"/>
      <c r="E82" s="7"/>
      <c r="F82" s="7"/>
      <c r="G82" s="7"/>
      <c r="H82" s="7"/>
      <c r="I82" s="21" t="str">
        <f>'EntericFer &amp; FeedCultiv'!G150</f>
        <v>Malkekøer, jersey Kvier u. 18. mdr.</v>
      </c>
      <c r="J82" s="87">
        <f>'EntericFer &amp; FeedCultiv'!H150</f>
        <v>3</v>
      </c>
      <c r="K82" s="19">
        <f>'EntericFer &amp; FeedCultiv'!I150</f>
        <v>13</v>
      </c>
      <c r="L82" s="468"/>
      <c r="V82" s="460"/>
    </row>
    <row r="83" spans="1:22" s="134" customFormat="1" x14ac:dyDescent="0.25">
      <c r="B83" s="7"/>
      <c r="C83" s="7"/>
      <c r="D83" s="7"/>
      <c r="E83" s="7"/>
      <c r="F83" s="7"/>
      <c r="G83" s="7"/>
      <c r="H83" s="7"/>
      <c r="I83" s="21" t="str">
        <f>'EntericFer &amp; FeedCultiv'!G151</f>
        <v>Malkekøer, jersey Kvier o. 18. mdr.</v>
      </c>
      <c r="J83" s="87">
        <f>'EntericFer &amp; FeedCultiv'!H151</f>
        <v>3</v>
      </c>
      <c r="K83" s="19">
        <f>'EntericFer &amp; FeedCultiv'!I151</f>
        <v>24.2</v>
      </c>
      <c r="L83" s="468"/>
      <c r="V83" s="7"/>
    </row>
    <row r="84" spans="1:22" s="134" customFormat="1" x14ac:dyDescent="0.25">
      <c r="B84" s="7"/>
      <c r="C84" s="7"/>
      <c r="D84" s="7"/>
      <c r="E84" s="7"/>
      <c r="F84" s="7"/>
      <c r="G84" s="7"/>
      <c r="H84" s="7"/>
      <c r="I84" s="21" t="str">
        <f>'EntericFer &amp; FeedCultiv'!G152</f>
        <v>Malkekøer, jersey Stude</v>
      </c>
      <c r="J84" s="87">
        <f>'EntericFer &amp; FeedCultiv'!H152</f>
        <v>3</v>
      </c>
      <c r="K84" s="19">
        <f>'EntericFer &amp; FeedCultiv'!I152</f>
        <v>22.3</v>
      </c>
      <c r="L84" s="468"/>
      <c r="Q84" s="649"/>
      <c r="R84" s="650" t="str">
        <f>R36</f>
        <v>GWP impacts from manure (incl. grazing, housing and manure tank)</v>
      </c>
      <c r="S84" s="650">
        <f t="shared" ref="S84:U85" si="24">S36</f>
        <v>0</v>
      </c>
      <c r="T84" s="650" t="str">
        <f t="shared" si="24"/>
        <v>GWP impacts from enteric fermentation</v>
      </c>
      <c r="U84" s="651" t="str">
        <f t="shared" si="24"/>
        <v>GWP impacts from feed</v>
      </c>
      <c r="V84" s="7"/>
    </row>
    <row r="85" spans="1:22" s="134" customFormat="1" x14ac:dyDescent="0.25">
      <c r="B85" s="7"/>
      <c r="C85" s="7"/>
      <c r="D85" s="7"/>
      <c r="E85" s="7"/>
      <c r="F85" s="7"/>
      <c r="G85" s="7"/>
      <c r="H85" s="7"/>
      <c r="I85" s="21" t="str">
        <f>'EntericFer &amp; FeedCultiv'!G153</f>
        <v>Malkekøer, jersey Køer</v>
      </c>
      <c r="J85" s="87">
        <f>'EntericFer &amp; FeedCultiv'!H153</f>
        <v>24.2</v>
      </c>
      <c r="K85" s="19">
        <f>'EntericFer &amp; FeedCultiv'!I153</f>
        <v>61.1</v>
      </c>
      <c r="L85" s="468"/>
      <c r="Q85" s="652"/>
      <c r="R85" s="358" t="str">
        <f>R37</f>
        <v>m_grazing</v>
      </c>
      <c r="S85" s="358" t="str">
        <f t="shared" si="24"/>
        <v>m_housing+tank</v>
      </c>
      <c r="T85" s="358" t="str">
        <f t="shared" si="24"/>
        <v>ent.ferm</v>
      </c>
      <c r="U85" s="653" t="str">
        <f t="shared" si="24"/>
        <v>feed</v>
      </c>
      <c r="V85" s="7"/>
    </row>
    <row r="86" spans="1:22" s="134" customFormat="1" ht="17.25" x14ac:dyDescent="0.25">
      <c r="B86" s="7"/>
      <c r="C86" s="7"/>
      <c r="D86" s="7"/>
      <c r="E86" s="7"/>
      <c r="F86" s="7"/>
      <c r="G86" s="7"/>
      <c r="H86" s="7"/>
      <c r="I86" s="21" t="str">
        <f>'EntericFer &amp; FeedCultiv'!G154</f>
        <v>Malkekøer, jersey Tyrekalv 0-1 mdr.</v>
      </c>
      <c r="J86" s="87">
        <f>'EntericFer &amp; FeedCultiv'!H154</f>
        <v>0</v>
      </c>
      <c r="K86" s="19">
        <f>'EntericFer &amp; FeedCultiv'!I154</f>
        <v>1</v>
      </c>
      <c r="L86" s="468"/>
      <c r="Q86" s="654"/>
      <c r="R86" s="655" t="s">
        <v>557</v>
      </c>
      <c r="S86" s="655" t="s">
        <v>557</v>
      </c>
      <c r="T86" s="655" t="s">
        <v>557</v>
      </c>
      <c r="U86" s="656" t="s">
        <v>557</v>
      </c>
      <c r="V86" s="7"/>
    </row>
    <row r="87" spans="1:22" s="134" customFormat="1" x14ac:dyDescent="0.25">
      <c r="B87" s="7"/>
      <c r="C87" s="7"/>
      <c r="D87" s="7"/>
      <c r="E87" s="7"/>
      <c r="F87" s="7"/>
      <c r="G87" s="7"/>
      <c r="H87" s="7"/>
      <c r="I87" s="21" t="str">
        <f>'EntericFer &amp; FeedCultiv'!G155</f>
        <v>Tyrekalve 0-3 mdr.</v>
      </c>
      <c r="J87" s="87">
        <f>'EntericFer &amp; FeedCultiv'!H155</f>
        <v>0</v>
      </c>
      <c r="K87" s="19">
        <f>'EntericFer &amp; FeedCultiv'!I155</f>
        <v>3</v>
      </c>
      <c r="L87" s="468"/>
      <c r="Q87" s="649" t="str">
        <f t="shared" ref="Q87:Q95" si="25">Q39</f>
        <v>Malkekøer, tung race Kalve 0-1 mdr</v>
      </c>
      <c r="R87" s="657" t="str">
        <f t="shared" ref="R87:U95" si="26">IF(R39&gt;0, R39*$K38/1000/1000,"")</f>
        <v/>
      </c>
      <c r="S87" s="657">
        <f t="shared" si="26"/>
        <v>11.101518131664694</v>
      </c>
      <c r="T87" s="657" t="e">
        <f t="shared" si="26"/>
        <v>#VALUE!</v>
      </c>
      <c r="U87" s="658">
        <f t="shared" si="26"/>
        <v>8.9950084081512109</v>
      </c>
    </row>
    <row r="88" spans="1:22" s="134" customFormat="1" x14ac:dyDescent="0.25">
      <c r="B88" s="7"/>
      <c r="C88" s="7"/>
      <c r="D88" s="7"/>
      <c r="E88" s="7"/>
      <c r="F88" s="7"/>
      <c r="G88" s="7"/>
      <c r="H88" s="7"/>
      <c r="I88" s="21" t="str">
        <f>'EntericFer &amp; FeedCultiv'!G156</f>
        <v>Malkekøer, jersey Tyrekalv 0-6 mdr.</v>
      </c>
      <c r="J88" s="87" t="str">
        <f>'EntericFer &amp; FeedCultiv'!H156</f>
        <v/>
      </c>
      <c r="K88" s="19">
        <f>'EntericFer &amp; FeedCultiv'!I156</f>
        <v>6</v>
      </c>
      <c r="L88" s="468"/>
      <c r="Q88" s="652" t="str">
        <f t="shared" si="25"/>
        <v>Malkekøer, tung race Kvier u. 18. mdr.</v>
      </c>
      <c r="R88" s="463">
        <f t="shared" si="26"/>
        <v>0.21353171937819587</v>
      </c>
      <c r="S88" s="463">
        <f t="shared" si="26"/>
        <v>6.4731682827824928</v>
      </c>
      <c r="T88" s="463">
        <f t="shared" si="26"/>
        <v>9.6128890529032915</v>
      </c>
      <c r="U88" s="659">
        <f t="shared" si="26"/>
        <v>10.091279954407172</v>
      </c>
    </row>
    <row r="89" spans="1:22" s="134" customFormat="1" x14ac:dyDescent="0.25">
      <c r="B89" s="7"/>
      <c r="C89" s="7"/>
      <c r="D89" s="7"/>
      <c r="E89" s="7"/>
      <c r="F89" s="7"/>
      <c r="G89" s="7"/>
      <c r="H89" s="7"/>
      <c r="I89" s="21" t="str">
        <f>'EntericFer &amp; FeedCultiv'!G157</f>
        <v>Malkekøer, jersey Tyre u. 12 mdr.</v>
      </c>
      <c r="J89" s="87">
        <f>'EntericFer &amp; FeedCultiv'!H157</f>
        <v>3</v>
      </c>
      <c r="K89" s="19">
        <f>'EntericFer &amp; FeedCultiv'!I157</f>
        <v>9.1999999999999993</v>
      </c>
      <c r="L89" s="468"/>
      <c r="Q89" s="652" t="str">
        <f t="shared" si="25"/>
        <v>Malkekøer, tung race Kvier o. 18. mdr.</v>
      </c>
      <c r="R89" s="463">
        <f t="shared" si="26"/>
        <v>0.63002082472023091</v>
      </c>
      <c r="S89" s="463">
        <f t="shared" si="26"/>
        <v>16.070234826778485</v>
      </c>
      <c r="T89" s="463">
        <f t="shared" si="26"/>
        <v>43.257428862952281</v>
      </c>
      <c r="U89" s="659">
        <f t="shared" si="26"/>
        <v>35.794931909251382</v>
      </c>
      <c r="V89" s="7"/>
    </row>
    <row r="90" spans="1:22" s="134" customFormat="1" x14ac:dyDescent="0.25">
      <c r="B90" s="7"/>
      <c r="C90" s="7"/>
      <c r="D90" s="7"/>
      <c r="E90" s="7"/>
      <c r="F90" s="7"/>
      <c r="G90" s="7"/>
      <c r="H90" s="7"/>
      <c r="I90" s="29" t="str">
        <f>'EntericFer &amp; FeedCultiv'!G158</f>
        <v>Malkekøer, jersey Tyre o. 12 mdr.</v>
      </c>
      <c r="J90" s="384">
        <f>'EntericFer &amp; FeedCultiv'!H158</f>
        <v>3</v>
      </c>
      <c r="K90" s="224">
        <f>'EntericFer &amp; FeedCultiv'!I158</f>
        <v>17.7</v>
      </c>
      <c r="L90" s="469"/>
      <c r="Q90" s="652" t="str">
        <f t="shared" si="25"/>
        <v>Malkekøer, tung race Stude</v>
      </c>
      <c r="R90" s="463">
        <f t="shared" si="26"/>
        <v>4.2653281482569194E-2</v>
      </c>
      <c r="S90" s="463">
        <f t="shared" si="26"/>
        <v>1.0911811228324642</v>
      </c>
      <c r="T90" s="463">
        <f t="shared" si="26"/>
        <v>2.7772988841974349</v>
      </c>
      <c r="U90" s="659">
        <f t="shared" si="26"/>
        <v>2.7729680938896801</v>
      </c>
      <c r="V90" s="7"/>
    </row>
    <row r="91" spans="1:22" s="134" customFormat="1" x14ac:dyDescent="0.25">
      <c r="B91" s="7"/>
      <c r="C91" s="7"/>
      <c r="D91" s="7"/>
      <c r="E91" s="7"/>
      <c r="F91" s="7"/>
      <c r="G91" s="7"/>
      <c r="H91" s="7"/>
      <c r="I91" s="5"/>
      <c r="J91" s="87"/>
      <c r="K91" s="19"/>
      <c r="L91" s="19"/>
      <c r="Q91" s="652" t="str">
        <f t="shared" si="25"/>
        <v>Malkekøer, tung race Køer -tk (1year)</v>
      </c>
      <c r="R91" s="463">
        <f t="shared" si="26"/>
        <v>4.60771209145196</v>
      </c>
      <c r="S91" s="463">
        <f t="shared" si="26"/>
        <v>206.40168528265497</v>
      </c>
      <c r="T91" s="463">
        <f t="shared" si="26"/>
        <v>595.84700834372154</v>
      </c>
      <c r="U91" s="659">
        <f t="shared" si="26"/>
        <v>398.99414698392661</v>
      </c>
      <c r="V91" s="7"/>
    </row>
    <row r="92" spans="1:22" s="134" customFormat="1" x14ac:dyDescent="0.25">
      <c r="B92" s="7"/>
      <c r="C92" s="7"/>
      <c r="D92" s="7"/>
      <c r="E92" s="7"/>
      <c r="F92" s="7"/>
      <c r="G92" s="7"/>
      <c r="H92" s="7"/>
      <c r="I92" s="459"/>
      <c r="L92" s="7"/>
      <c r="Q92" s="652" t="str">
        <f t="shared" si="25"/>
        <v>Malkekøer, tung race Køer -tk</v>
      </c>
      <c r="R92" s="463">
        <f t="shared" si="26"/>
        <v>19.0070545984833</v>
      </c>
      <c r="S92" s="463">
        <f t="shared" si="26"/>
        <v>747.7307340268701</v>
      </c>
      <c r="T92" s="463">
        <f t="shared" si="26"/>
        <v>2131.8254931953693</v>
      </c>
      <c r="U92" s="659">
        <f t="shared" si="26"/>
        <v>1485.7923520775405</v>
      </c>
      <c r="V92" s="7"/>
    </row>
    <row r="93" spans="1:22" s="134" customFormat="1" x14ac:dyDescent="0.25">
      <c r="B93" s="7"/>
      <c r="C93" s="7"/>
      <c r="D93" s="7"/>
      <c r="E93" s="7"/>
      <c r="F93" s="7"/>
      <c r="G93" s="7"/>
      <c r="H93" s="7"/>
      <c r="I93" s="459"/>
      <c r="L93" s="7"/>
      <c r="Q93" s="652" t="str">
        <f t="shared" si="25"/>
        <v>Malkekøer, tung race Tyrekalve 0-1 mdr.</v>
      </c>
      <c r="R93" s="463" t="str">
        <f t="shared" si="26"/>
        <v/>
      </c>
      <c r="S93" s="463">
        <f t="shared" si="26"/>
        <v>7.9957402499373904</v>
      </c>
      <c r="T93" s="463" t="e">
        <f t="shared" si="26"/>
        <v>#VALUE!</v>
      </c>
      <c r="U93" s="659">
        <f t="shared" si="26"/>
        <v>8.9950084081512109</v>
      </c>
      <c r="V93" s="7"/>
    </row>
    <row r="94" spans="1:22" s="134" customFormat="1" x14ac:dyDescent="0.25">
      <c r="B94" s="7"/>
      <c r="C94" s="7"/>
      <c r="D94" s="7"/>
      <c r="E94" s="7"/>
      <c r="F94" s="7"/>
      <c r="G94" s="7"/>
      <c r="H94" s="7"/>
      <c r="I94" s="459"/>
      <c r="L94" s="7"/>
      <c r="Q94" s="652" t="str">
        <f t="shared" si="25"/>
        <v>Malkekøer, tung race Tyre u. 12 mdr.</v>
      </c>
      <c r="R94" s="463" t="str">
        <f t="shared" si="26"/>
        <v/>
      </c>
      <c r="S94" s="463">
        <f t="shared" si="26"/>
        <v>121.77896656624793</v>
      </c>
      <c r="T94" s="463">
        <f t="shared" si="26"/>
        <v>73.557511764148728</v>
      </c>
      <c r="U94" s="659">
        <f t="shared" si="26"/>
        <v>120.9870848104275</v>
      </c>
      <c r="V94" s="7"/>
    </row>
    <row r="95" spans="1:22" s="134" customFormat="1" x14ac:dyDescent="0.25">
      <c r="B95" s="7"/>
      <c r="C95" s="7"/>
      <c r="D95" s="7"/>
      <c r="E95" s="7"/>
      <c r="F95" s="7"/>
      <c r="G95" s="7"/>
      <c r="H95" s="7"/>
      <c r="I95" s="459"/>
      <c r="L95" s="7"/>
      <c r="Q95" s="652" t="str">
        <f t="shared" si="25"/>
        <v>Malkekøer, tung race Tyre o. 12 mdr.</v>
      </c>
      <c r="R95" s="463" t="str">
        <f t="shared" si="26"/>
        <v/>
      </c>
      <c r="S95" s="463">
        <f t="shared" si="26"/>
        <v>29.451271488787086</v>
      </c>
      <c r="T95" s="463">
        <f t="shared" si="26"/>
        <v>25.855134140382891</v>
      </c>
      <c r="U95" s="659">
        <f t="shared" si="26"/>
        <v>33.340078276944013</v>
      </c>
      <c r="V95" s="7"/>
    </row>
    <row r="96" spans="1:22" s="134" customFormat="1" x14ac:dyDescent="0.25">
      <c r="A96" s="7"/>
      <c r="B96" s="7"/>
      <c r="C96" s="7"/>
      <c r="D96" s="7"/>
      <c r="E96" s="7"/>
      <c r="F96" s="7"/>
      <c r="G96" s="7"/>
      <c r="H96" s="7"/>
      <c r="I96" s="459"/>
      <c r="J96" s="7"/>
      <c r="L96" s="7"/>
      <c r="Q96" s="21"/>
      <c r="R96" s="5"/>
      <c r="S96" s="5"/>
      <c r="T96" s="5"/>
      <c r="U96" s="18"/>
      <c r="V96" s="7"/>
    </row>
    <row r="97" spans="1:22" s="134" customFormat="1" x14ac:dyDescent="0.25">
      <c r="A97" s="7"/>
      <c r="B97" s="7"/>
      <c r="C97" s="7"/>
      <c r="D97" s="7"/>
      <c r="E97" s="7"/>
      <c r="F97" s="7"/>
      <c r="G97" s="7"/>
      <c r="H97" s="7"/>
      <c r="I97" s="459"/>
      <c r="J97" s="7"/>
      <c r="L97" s="7"/>
      <c r="Q97" s="652" t="str">
        <f t="shared" ref="Q97:Q105" si="27">Q49</f>
        <v>Malkekøer, jersey Kalve 0-1 mdr.</v>
      </c>
      <c r="R97" s="463" t="str">
        <f t="shared" ref="R97:U105" si="28">IF(R49&gt;0, R49*$K48/1000/1000,"")</f>
        <v/>
      </c>
      <c r="S97" s="463">
        <f t="shared" si="28"/>
        <v>0</v>
      </c>
      <c r="T97" s="463" t="str">
        <f t="shared" si="28"/>
        <v/>
      </c>
      <c r="U97" s="659">
        <f t="shared" si="28"/>
        <v>0</v>
      </c>
      <c r="V97" s="7"/>
    </row>
    <row r="98" spans="1:22" s="134" customFormat="1" x14ac:dyDescent="0.25">
      <c r="A98" s="7"/>
      <c r="B98" s="7"/>
      <c r="C98" s="464"/>
      <c r="D98" s="464"/>
      <c r="E98" s="464"/>
      <c r="F98" s="464"/>
      <c r="G98" s="464"/>
      <c r="H98" s="459"/>
      <c r="I98" s="459"/>
      <c r="J98" s="7"/>
      <c r="L98" s="7"/>
      <c r="Q98" s="652" t="str">
        <f t="shared" si="27"/>
        <v>Malkekøer, jersey Kvier u. 18. mdr.</v>
      </c>
      <c r="R98" s="463">
        <f t="shared" si="28"/>
        <v>1.8290855508368033E-2</v>
      </c>
      <c r="S98" s="463">
        <f t="shared" si="28"/>
        <v>0.56464310234552351</v>
      </c>
      <c r="T98" s="463">
        <f t="shared" si="28"/>
        <v>0.73576769347737048</v>
      </c>
      <c r="U98" s="659">
        <f t="shared" si="28"/>
        <v>0.79105073883905197</v>
      </c>
      <c r="V98" s="7"/>
    </row>
    <row r="99" spans="1:22" s="134" customFormat="1" x14ac:dyDescent="0.25">
      <c r="A99" s="7"/>
      <c r="B99" s="7"/>
      <c r="C99" s="7"/>
      <c r="D99" s="7"/>
      <c r="E99" s="7"/>
      <c r="F99" s="7"/>
      <c r="G99" s="7"/>
      <c r="H99" s="507"/>
      <c r="I99" s="507"/>
      <c r="J99" s="7"/>
      <c r="L99"/>
      <c r="M99"/>
      <c r="N99"/>
      <c r="P99"/>
      <c r="Q99" s="652" t="str">
        <f t="shared" si="27"/>
        <v>Malkekøer, jersey Kvier o. 18. mdr.</v>
      </c>
      <c r="R99" s="463">
        <f t="shared" si="28"/>
        <v>7.0160531483508176E-2</v>
      </c>
      <c r="S99" s="463">
        <f t="shared" si="28"/>
        <v>1.7897853890950004</v>
      </c>
      <c r="T99" s="463">
        <f t="shared" si="28"/>
        <v>4.9336400090190757</v>
      </c>
      <c r="U99" s="659">
        <f t="shared" si="28"/>
        <v>3.9682846812310291</v>
      </c>
      <c r="V99" s="7"/>
    </row>
    <row r="100" spans="1:22" s="134" customFormat="1" x14ac:dyDescent="0.25">
      <c r="A100" s="7"/>
      <c r="B100" s="7"/>
      <c r="C100" s="7"/>
      <c r="D100" s="7"/>
      <c r="E100" s="7"/>
      <c r="F100" s="7"/>
      <c r="G100" s="7"/>
      <c r="H100" s="507"/>
      <c r="I100" s="507"/>
      <c r="J100" s="7"/>
      <c r="Q100" s="652" t="str">
        <f t="shared" si="27"/>
        <v>Malkekøer, jersey Stude</v>
      </c>
      <c r="R100" s="463">
        <f t="shared" si="28"/>
        <v>1.1178375376974614E-2</v>
      </c>
      <c r="S100" s="463">
        <f t="shared" si="28"/>
        <v>0.29446607525319901</v>
      </c>
      <c r="T100" s="463">
        <f t="shared" si="28"/>
        <v>0.74534642968031695</v>
      </c>
      <c r="U100" s="659">
        <f t="shared" si="28"/>
        <v>0.62231151790651396</v>
      </c>
      <c r="V100" s="7"/>
    </row>
    <row r="101" spans="1:22" x14ac:dyDescent="0.25">
      <c r="A101" s="7"/>
      <c r="B101" s="7"/>
      <c r="C101" s="7"/>
      <c r="D101" s="7"/>
      <c r="E101" s="7"/>
      <c r="F101" s="7"/>
      <c r="G101" s="7"/>
      <c r="H101" s="7"/>
      <c r="I101" s="7"/>
      <c r="J101" s="7"/>
      <c r="Q101" s="652" t="str">
        <f t="shared" si="27"/>
        <v>Malkekøer, jersey Køer (1year)</v>
      </c>
      <c r="R101" s="463">
        <f t="shared" si="28"/>
        <v>0.51663132837818393</v>
      </c>
      <c r="S101" s="463">
        <f t="shared" si="28"/>
        <v>23.279487676669856</v>
      </c>
      <c r="T101" s="463">
        <f t="shared" si="28"/>
        <v>69.972488967580588</v>
      </c>
      <c r="U101" s="659">
        <f t="shared" si="28"/>
        <v>47.201818068258021</v>
      </c>
    </row>
    <row r="102" spans="1:22" x14ac:dyDescent="0.25">
      <c r="A102" s="7"/>
      <c r="B102" s="7"/>
      <c r="C102" s="464"/>
      <c r="D102" s="464"/>
      <c r="E102" s="464"/>
      <c r="F102" s="464"/>
      <c r="G102" s="464"/>
      <c r="H102" s="464"/>
      <c r="I102" s="464"/>
      <c r="J102" s="7"/>
      <c r="Q102" s="652" t="str">
        <f t="shared" si="27"/>
        <v>Malkekøer, jersey Køer</v>
      </c>
      <c r="R102" s="463">
        <f t="shared" si="28"/>
        <v>2.1510489721423625</v>
      </c>
      <c r="S102" s="463">
        <f t="shared" si="28"/>
        <v>85.931365126496601</v>
      </c>
      <c r="T102" s="463">
        <f t="shared" si="28"/>
        <v>254.71351933901929</v>
      </c>
      <c r="U102" s="659">
        <f t="shared" si="28"/>
        <v>176.95540677465223</v>
      </c>
    </row>
    <row r="103" spans="1:22" x14ac:dyDescent="0.25">
      <c r="A103" s="7"/>
      <c r="B103" s="7"/>
      <c r="C103" s="464"/>
      <c r="D103" s="464"/>
      <c r="E103" s="464"/>
      <c r="F103" s="464"/>
      <c r="G103" s="464"/>
      <c r="H103" s="464"/>
      <c r="I103" s="464"/>
      <c r="J103" s="7"/>
      <c r="Q103" s="652" t="str">
        <f t="shared" si="27"/>
        <v>Malkekøer, jersey Tyrekalve 0-1 mdr.</v>
      </c>
      <c r="R103" s="463" t="str">
        <f t="shared" si="28"/>
        <v/>
      </c>
      <c r="S103" s="463">
        <f t="shared" si="28"/>
        <v>0</v>
      </c>
      <c r="T103" s="463" t="str">
        <f t="shared" si="28"/>
        <v/>
      </c>
      <c r="U103" s="659">
        <f t="shared" si="28"/>
        <v>0</v>
      </c>
    </row>
    <row r="104" spans="1:22" x14ac:dyDescent="0.25">
      <c r="A104" s="7"/>
      <c r="B104" s="7"/>
      <c r="C104" s="464"/>
      <c r="D104" s="464"/>
      <c r="E104" s="464"/>
      <c r="F104" s="464"/>
      <c r="G104" s="464"/>
      <c r="H104" s="464"/>
      <c r="I104" s="464"/>
      <c r="J104" s="7"/>
      <c r="Q104" s="652" t="str">
        <f t="shared" si="27"/>
        <v>Malkekøer, jersey Tyre u. 12 mdr.</v>
      </c>
      <c r="R104" s="463" t="str">
        <f t="shared" si="28"/>
        <v/>
      </c>
      <c r="S104" s="463">
        <f t="shared" si="28"/>
        <v>1.2313982888956967</v>
      </c>
      <c r="T104" s="463">
        <f t="shared" si="28"/>
        <v>0.63573119647037235</v>
      </c>
      <c r="U104" s="659">
        <f t="shared" si="28"/>
        <v>1.044802265217402</v>
      </c>
    </row>
    <row r="105" spans="1:22" x14ac:dyDescent="0.25">
      <c r="A105" s="7"/>
      <c r="B105" s="7"/>
      <c r="C105" s="464"/>
      <c r="D105" s="464"/>
      <c r="E105" s="464"/>
      <c r="F105" s="464"/>
      <c r="G105" s="464"/>
      <c r="H105" s="464"/>
      <c r="I105" s="464"/>
      <c r="J105" s="7"/>
      <c r="Q105" s="654" t="str">
        <f t="shared" si="27"/>
        <v>Malkekøer, jersey Tyre o. 12 mdr.</v>
      </c>
      <c r="R105" s="660" t="str">
        <f t="shared" si="28"/>
        <v/>
      </c>
      <c r="S105" s="660">
        <f t="shared" si="28"/>
        <v>2.2423076862163422</v>
      </c>
      <c r="T105" s="660">
        <f t="shared" si="28"/>
        <v>2.8207986083874315</v>
      </c>
      <c r="U105" s="661">
        <f t="shared" si="28"/>
        <v>2.5680595083094691</v>
      </c>
    </row>
    <row r="106" spans="1:22" x14ac:dyDescent="0.25">
      <c r="A106" s="7"/>
      <c r="B106" s="7"/>
      <c r="C106" s="464"/>
      <c r="D106" s="464"/>
      <c r="E106" s="464"/>
      <c r="F106" s="464"/>
      <c r="G106" s="464"/>
      <c r="H106" s="464"/>
      <c r="I106" s="464"/>
      <c r="J106" s="7"/>
    </row>
    <row r="107" spans="1:22" x14ac:dyDescent="0.25">
      <c r="A107" s="7"/>
      <c r="B107" s="7"/>
      <c r="C107" s="464"/>
      <c r="D107" s="464"/>
      <c r="E107" s="464"/>
      <c r="F107" s="464"/>
      <c r="G107" s="464"/>
      <c r="H107" s="464"/>
      <c r="I107" s="464"/>
      <c r="J107" s="7"/>
    </row>
    <row r="108" spans="1:22" x14ac:dyDescent="0.25">
      <c r="A108" s="7"/>
      <c r="B108" s="7"/>
      <c r="C108" s="464"/>
      <c r="D108" s="464"/>
      <c r="E108" s="464"/>
      <c r="F108" s="464"/>
      <c r="G108" s="464"/>
      <c r="H108" s="464"/>
      <c r="I108" s="464"/>
      <c r="J108" s="7"/>
    </row>
    <row r="109" spans="1:22" x14ac:dyDescent="0.25">
      <c r="A109" s="7"/>
      <c r="B109" s="7"/>
      <c r="C109" s="464"/>
      <c r="D109" s="464"/>
      <c r="E109" s="464"/>
      <c r="F109" s="464"/>
      <c r="G109" s="464"/>
      <c r="H109" s="464"/>
      <c r="I109" s="464"/>
      <c r="J109" s="7"/>
    </row>
    <row r="110" spans="1:22" x14ac:dyDescent="0.25">
      <c r="A110" s="7"/>
      <c r="B110" s="7"/>
      <c r="C110" s="464"/>
      <c r="D110" s="464"/>
      <c r="E110" s="464"/>
      <c r="F110" s="464"/>
      <c r="G110" s="464"/>
      <c r="H110" s="464"/>
      <c r="I110" s="464"/>
      <c r="J110" s="7"/>
    </row>
    <row r="111" spans="1:22" x14ac:dyDescent="0.25">
      <c r="A111" s="7"/>
      <c r="B111" s="7"/>
      <c r="C111" s="464"/>
      <c r="D111" s="464"/>
      <c r="E111" s="464"/>
      <c r="F111" s="464"/>
      <c r="G111" s="464"/>
      <c r="H111" s="464"/>
      <c r="I111" s="464"/>
      <c r="J111" s="7"/>
      <c r="S111" s="39"/>
    </row>
    <row r="112" spans="1:22" x14ac:dyDescent="0.25">
      <c r="A112" s="7"/>
      <c r="B112" s="7"/>
      <c r="C112" s="464"/>
      <c r="D112" s="464"/>
      <c r="E112" s="464"/>
      <c r="F112" s="464"/>
      <c r="G112" s="464"/>
      <c r="H112" s="464"/>
      <c r="I112" s="464"/>
      <c r="J112" s="7"/>
      <c r="S112" s="39"/>
    </row>
    <row r="113" spans="1:18" x14ac:dyDescent="0.25">
      <c r="A113" s="7"/>
      <c r="B113" s="7"/>
      <c r="C113" s="7"/>
      <c r="D113" s="7"/>
      <c r="E113" s="7"/>
      <c r="F113" s="7"/>
      <c r="G113" s="7"/>
      <c r="H113" s="7"/>
      <c r="I113" s="7"/>
      <c r="J113" s="7"/>
    </row>
    <row r="114" spans="1:18" x14ac:dyDescent="0.25">
      <c r="A114" s="7"/>
      <c r="B114" s="7"/>
      <c r="C114" s="7"/>
      <c r="D114" s="7"/>
      <c r="E114" s="7"/>
      <c r="F114" s="7"/>
      <c r="G114" s="7"/>
      <c r="H114" s="7"/>
      <c r="I114" s="7"/>
      <c r="J114" s="7"/>
    </row>
    <row r="115" spans="1:18" x14ac:dyDescent="0.25">
      <c r="A115" s="7"/>
      <c r="B115" s="7"/>
      <c r="C115" s="7"/>
      <c r="D115" s="7"/>
      <c r="E115" s="7"/>
      <c r="F115" s="7"/>
      <c r="G115" s="7"/>
      <c r="H115" s="7"/>
      <c r="I115" s="7"/>
      <c r="J115" s="7"/>
    </row>
    <row r="116" spans="1:18" s="134" customFormat="1" x14ac:dyDescent="0.25">
      <c r="A116" s="7"/>
      <c r="B116" s="7"/>
      <c r="C116" s="7"/>
      <c r="D116" s="7"/>
      <c r="E116" s="7"/>
      <c r="F116" s="7"/>
      <c r="G116" s="7"/>
      <c r="H116" s="464"/>
      <c r="I116" s="464"/>
      <c r="J116" s="7"/>
      <c r="Q116"/>
      <c r="R116"/>
    </row>
    <row r="117" spans="1:18" s="134" customFormat="1" x14ac:dyDescent="0.25">
      <c r="A117" s="7"/>
      <c r="B117" s="7"/>
      <c r="C117" s="464"/>
      <c r="D117" s="464"/>
      <c r="E117" s="464"/>
      <c r="F117" s="464"/>
      <c r="G117" s="464"/>
      <c r="H117" s="464"/>
      <c r="I117" s="464"/>
      <c r="J117" s="7"/>
      <c r="Q117"/>
      <c r="R117"/>
    </row>
    <row r="118" spans="1:18" s="134" customFormat="1" x14ac:dyDescent="0.25">
      <c r="A118" s="7"/>
      <c r="B118" s="7"/>
      <c r="C118" s="464"/>
      <c r="D118" s="464"/>
      <c r="E118" s="464"/>
      <c r="F118" s="464"/>
      <c r="G118" s="464"/>
      <c r="H118" s="464"/>
      <c r="I118" s="464"/>
      <c r="J118" s="7"/>
      <c r="Q118"/>
      <c r="R118"/>
    </row>
    <row r="119" spans="1:18" s="134" customFormat="1" x14ac:dyDescent="0.25">
      <c r="A119" s="7"/>
      <c r="B119" s="7"/>
      <c r="C119" s="464"/>
      <c r="D119" s="464"/>
      <c r="E119" s="464"/>
      <c r="F119" s="464"/>
      <c r="G119" s="464"/>
      <c r="H119" s="464"/>
      <c r="I119" s="464"/>
      <c r="J119" s="7"/>
      <c r="Q119"/>
      <c r="R119"/>
    </row>
    <row r="120" spans="1:18" s="134" customFormat="1" x14ac:dyDescent="0.25">
      <c r="A120" s="7"/>
      <c r="B120" s="7"/>
      <c r="C120" s="464"/>
      <c r="D120" s="464"/>
      <c r="E120" s="464"/>
      <c r="F120" s="464"/>
      <c r="G120" s="464"/>
      <c r="H120" s="464"/>
      <c r="I120" s="464"/>
      <c r="J120" s="7"/>
      <c r="Q120"/>
      <c r="R120"/>
    </row>
    <row r="121" spans="1:18" s="134" customFormat="1" x14ac:dyDescent="0.25">
      <c r="A121" s="7"/>
      <c r="B121" s="7"/>
      <c r="C121" s="464"/>
      <c r="D121" s="464"/>
      <c r="E121" s="464"/>
      <c r="F121" s="464"/>
      <c r="G121" s="464"/>
      <c r="H121" s="464"/>
      <c r="I121" s="464"/>
      <c r="J121" s="7"/>
      <c r="Q121"/>
      <c r="R121"/>
    </row>
    <row r="122" spans="1:18" s="134" customFormat="1" x14ac:dyDescent="0.25">
      <c r="A122" s="7"/>
      <c r="B122" s="7"/>
      <c r="C122" s="464"/>
      <c r="D122" s="464"/>
      <c r="E122" s="464"/>
      <c r="F122" s="464"/>
      <c r="G122" s="464"/>
      <c r="H122" s="464"/>
      <c r="I122" s="464"/>
      <c r="J122" s="7"/>
      <c r="Q122"/>
      <c r="R122"/>
    </row>
    <row r="123" spans="1:18" s="134" customFormat="1" x14ac:dyDescent="0.25">
      <c r="A123" s="7"/>
      <c r="B123" s="7"/>
      <c r="C123" s="464"/>
      <c r="D123" s="464"/>
      <c r="E123" s="464"/>
      <c r="F123" s="464"/>
      <c r="G123" s="464"/>
      <c r="H123" s="464"/>
      <c r="I123" s="464"/>
      <c r="J123" s="7"/>
      <c r="Q123"/>
      <c r="R123"/>
    </row>
    <row r="124" spans="1:18" s="134" customFormat="1" x14ac:dyDescent="0.25">
      <c r="A124" s="7"/>
      <c r="B124" s="7"/>
      <c r="C124" s="464"/>
      <c r="D124" s="464"/>
      <c r="E124" s="464"/>
      <c r="F124" s="464"/>
      <c r="G124" s="464"/>
      <c r="H124" s="464"/>
      <c r="I124" s="464"/>
      <c r="J124" s="7"/>
      <c r="Q124"/>
      <c r="R124"/>
    </row>
    <row r="125" spans="1:18" s="134" customFormat="1" x14ac:dyDescent="0.25">
      <c r="A125" s="7"/>
      <c r="B125" s="7"/>
      <c r="C125" s="7"/>
      <c r="D125" s="7"/>
      <c r="E125" s="7"/>
      <c r="F125" s="7"/>
      <c r="G125" s="7"/>
      <c r="H125" s="464"/>
      <c r="I125" s="464"/>
      <c r="J125" s="7"/>
      <c r="Q125"/>
      <c r="R125"/>
    </row>
    <row r="126" spans="1:18" s="134" customFormat="1" x14ac:dyDescent="0.25">
      <c r="A126" s="7"/>
      <c r="B126" s="7"/>
      <c r="C126" s="7"/>
      <c r="D126" s="7"/>
      <c r="E126" s="7"/>
      <c r="F126" s="7"/>
      <c r="G126" s="7"/>
      <c r="H126" s="464"/>
      <c r="I126" s="464"/>
      <c r="J126" s="7"/>
      <c r="Q126"/>
      <c r="R126"/>
    </row>
    <row r="127" spans="1:18" s="134" customFormat="1" x14ac:dyDescent="0.25">
      <c r="A127" s="7"/>
      <c r="B127" s="7"/>
      <c r="C127" s="7"/>
      <c r="D127" s="7"/>
      <c r="E127" s="7"/>
      <c r="F127" s="7"/>
      <c r="G127" s="7"/>
      <c r="H127" s="464"/>
      <c r="I127" s="464"/>
      <c r="J127" s="7"/>
      <c r="R127"/>
    </row>
    <row r="128" spans="1:18" s="134" customFormat="1" x14ac:dyDescent="0.25">
      <c r="A128" s="7"/>
      <c r="B128" s="7"/>
      <c r="C128" s="464"/>
      <c r="D128" s="464"/>
      <c r="E128" s="464"/>
      <c r="F128" s="464"/>
      <c r="G128" s="464"/>
      <c r="H128" s="464"/>
      <c r="I128" s="464"/>
      <c r="J128" s="7"/>
      <c r="R128"/>
    </row>
    <row r="129" spans="1:10" s="134" customFormat="1" x14ac:dyDescent="0.25">
      <c r="A129" s="7"/>
      <c r="B129" s="7"/>
      <c r="C129" s="464"/>
      <c r="D129" s="464"/>
      <c r="E129" s="464"/>
      <c r="F129" s="464"/>
      <c r="G129" s="464"/>
      <c r="H129" s="464"/>
      <c r="I129" s="464"/>
      <c r="J129" s="7"/>
    </row>
    <row r="130" spans="1:10" s="134" customFormat="1" x14ac:dyDescent="0.25">
      <c r="A130" s="7"/>
      <c r="B130" s="7"/>
      <c r="C130" s="464"/>
      <c r="D130" s="464"/>
      <c r="E130" s="464"/>
      <c r="F130" s="464"/>
      <c r="G130" s="464"/>
      <c r="H130" s="464"/>
      <c r="I130" s="464"/>
      <c r="J130" s="7"/>
    </row>
    <row r="131" spans="1:10" s="134" customFormat="1" x14ac:dyDescent="0.25">
      <c r="A131" s="7"/>
      <c r="B131" s="7"/>
      <c r="C131" s="7"/>
      <c r="D131" s="7"/>
      <c r="E131" s="7"/>
      <c r="F131" s="7"/>
      <c r="G131" s="7"/>
      <c r="H131" s="464"/>
      <c r="I131" s="464"/>
      <c r="J131" s="7"/>
    </row>
    <row r="132" spans="1:10" s="134" customFormat="1" x14ac:dyDescent="0.25">
      <c r="A132" s="7"/>
      <c r="B132" s="7"/>
      <c r="C132" s="464"/>
      <c r="D132" s="464"/>
      <c r="E132" s="464"/>
      <c r="F132" s="464"/>
      <c r="G132" s="464"/>
      <c r="H132" s="464"/>
      <c r="I132" s="464"/>
      <c r="J132" s="7"/>
    </row>
    <row r="133" spans="1:10" s="134" customFormat="1" x14ac:dyDescent="0.25">
      <c r="A133" s="7"/>
      <c r="B133" s="7"/>
      <c r="C133" s="464"/>
      <c r="D133" s="464"/>
      <c r="E133" s="464"/>
      <c r="F133" s="464"/>
      <c r="G133" s="464"/>
      <c r="H133" s="464"/>
      <c r="I133" s="464"/>
      <c r="J133" s="7"/>
    </row>
    <row r="134" spans="1:10" s="134" customFormat="1" x14ac:dyDescent="0.25">
      <c r="A134" s="7"/>
      <c r="B134" s="7"/>
      <c r="C134" s="464"/>
      <c r="D134" s="464"/>
      <c r="E134" s="464"/>
      <c r="F134" s="464"/>
      <c r="G134" s="464"/>
      <c r="H134" s="464"/>
      <c r="I134" s="464"/>
      <c r="J134" s="7"/>
    </row>
    <row r="135" spans="1:10" s="134" customFormat="1" x14ac:dyDescent="0.25">
      <c r="A135" s="7"/>
      <c r="B135" s="7"/>
      <c r="C135" s="464"/>
      <c r="D135" s="464"/>
      <c r="E135" s="464"/>
      <c r="F135" s="464"/>
      <c r="G135" s="464"/>
      <c r="H135" s="464"/>
      <c r="I135" s="464"/>
      <c r="J135" s="7"/>
    </row>
    <row r="136" spans="1:10" s="134" customFormat="1" x14ac:dyDescent="0.25">
      <c r="A136" s="7"/>
      <c r="B136" s="7"/>
      <c r="C136" s="464"/>
      <c r="D136" s="464"/>
      <c r="E136" s="464"/>
      <c r="F136" s="464"/>
      <c r="G136" s="464"/>
      <c r="H136" s="464"/>
      <c r="I136" s="464"/>
      <c r="J136" s="7"/>
    </row>
    <row r="137" spans="1:10" s="134" customFormat="1" x14ac:dyDescent="0.25">
      <c r="A137" s="7"/>
      <c r="B137" s="7"/>
      <c r="C137" s="464"/>
      <c r="D137" s="464"/>
      <c r="E137" s="464"/>
      <c r="F137" s="464"/>
      <c r="G137" s="464"/>
      <c r="H137" s="464"/>
      <c r="I137" s="464"/>
      <c r="J137" s="7"/>
    </row>
    <row r="138" spans="1:10" s="134" customFormat="1" x14ac:dyDescent="0.25">
      <c r="A138" s="7"/>
      <c r="B138" s="7"/>
      <c r="C138" s="464"/>
      <c r="D138" s="464"/>
      <c r="E138" s="464"/>
      <c r="F138" s="464"/>
      <c r="G138" s="464"/>
      <c r="H138" s="464"/>
      <c r="I138" s="464"/>
      <c r="J138" s="7"/>
    </row>
    <row r="139" spans="1:10" s="134" customFormat="1" x14ac:dyDescent="0.25">
      <c r="A139" s="7"/>
      <c r="B139" s="7"/>
      <c r="C139" s="464"/>
      <c r="D139" s="464"/>
      <c r="E139" s="464"/>
      <c r="F139" s="464"/>
      <c r="G139" s="464"/>
      <c r="H139" s="464"/>
      <c r="I139" s="464"/>
      <c r="J139" s="7"/>
    </row>
    <row r="140" spans="1:10" s="134" customFormat="1" x14ac:dyDescent="0.25">
      <c r="A140" s="7"/>
      <c r="B140" s="7"/>
      <c r="C140" s="464"/>
      <c r="D140" s="464"/>
      <c r="E140" s="464"/>
      <c r="F140" s="464"/>
      <c r="G140" s="464"/>
      <c r="H140" s="464"/>
      <c r="I140" s="464"/>
      <c r="J140" s="7"/>
    </row>
    <row r="141" spans="1:10" s="134" customFormat="1" x14ac:dyDescent="0.25">
      <c r="A141" s="7"/>
      <c r="B141" s="7"/>
      <c r="C141" s="464"/>
      <c r="D141" s="464"/>
      <c r="E141" s="464"/>
      <c r="F141" s="464"/>
      <c r="G141" s="464"/>
      <c r="H141" s="464"/>
      <c r="I141" s="464"/>
      <c r="J141" s="7"/>
    </row>
    <row r="142" spans="1:10" s="134" customFormat="1" x14ac:dyDescent="0.25">
      <c r="A142" s="7"/>
      <c r="B142" s="7"/>
      <c r="C142" s="464"/>
      <c r="D142" s="464"/>
      <c r="E142" s="464"/>
      <c r="F142" s="464"/>
      <c r="G142" s="464"/>
      <c r="H142" s="464"/>
      <c r="I142" s="464"/>
      <c r="J142" s="7"/>
    </row>
    <row r="143" spans="1:10" s="134" customFormat="1" x14ac:dyDescent="0.25">
      <c r="A143" s="7"/>
      <c r="B143" s="7"/>
      <c r="C143" s="464"/>
      <c r="D143" s="464"/>
      <c r="E143" s="464"/>
      <c r="F143" s="464"/>
      <c r="G143" s="464"/>
      <c r="H143" s="464"/>
      <c r="I143" s="464"/>
      <c r="J143" s="7"/>
    </row>
    <row r="144" spans="1:10" s="134" customFormat="1" x14ac:dyDescent="0.25">
      <c r="B144" s="7"/>
      <c r="C144" s="464"/>
      <c r="D144" s="464"/>
      <c r="E144" s="464"/>
      <c r="F144" s="464"/>
      <c r="G144" s="464"/>
      <c r="H144" s="464"/>
      <c r="I144" s="464"/>
    </row>
    <row r="145" spans="2:9" s="134" customFormat="1" x14ac:dyDescent="0.25">
      <c r="B145" s="7"/>
      <c r="C145" s="464"/>
      <c r="D145" s="464"/>
      <c r="E145" s="464"/>
      <c r="F145" s="464"/>
      <c r="G145" s="464"/>
      <c r="H145" s="464"/>
      <c r="I145" s="464"/>
    </row>
  </sheetData>
  <sheetProtection algorithmName="SHA-512" hashValue="pE0YT/q9Yl8K9k/AShsi0YqD5ASy0S13SFn5JAQcRxqM1lu2ahztOeAFKKxkUYTgDVeVKta38IrIpul7wrPxMQ==" saltValue="HGNTS5gMQ0YwuCkYaZp6DA==" spinCount="100000" sheet="1" objects="1" scenarios="1"/>
  <phoneticPr fontId="17"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2C889-80BF-4259-843F-53AB0E4284A5}">
  <dimension ref="B2:E27"/>
  <sheetViews>
    <sheetView zoomScale="70" zoomScaleNormal="70" workbookViewId="0">
      <selection activeCell="F53" sqref="F53"/>
    </sheetView>
  </sheetViews>
  <sheetFormatPr defaultRowHeight="15" x14ac:dyDescent="0.25"/>
  <cols>
    <col min="2" max="2" width="32.140625" customWidth="1"/>
    <col min="3" max="3" width="52.140625" bestFit="1" customWidth="1"/>
    <col min="4" max="4" width="50" customWidth="1"/>
    <col min="5" max="6" width="25" bestFit="1" customWidth="1"/>
    <col min="7" max="7" width="50" bestFit="1" customWidth="1"/>
  </cols>
  <sheetData>
    <row r="2" spans="2:4" x14ac:dyDescent="0.25">
      <c r="B2" s="12" t="s">
        <v>385</v>
      </c>
    </row>
    <row r="3" spans="2:4" ht="30" x14ac:dyDescent="0.25">
      <c r="B3" s="280" t="s">
        <v>386</v>
      </c>
      <c r="C3" s="313" t="s">
        <v>387</v>
      </c>
      <c r="D3" s="280" t="s">
        <v>388</v>
      </c>
    </row>
    <row r="4" spans="2:4" ht="45" x14ac:dyDescent="0.25">
      <c r="B4" s="280" t="s">
        <v>389</v>
      </c>
      <c r="C4" s="313" t="s">
        <v>390</v>
      </c>
      <c r="D4" s="202" t="s">
        <v>391</v>
      </c>
    </row>
    <row r="7" spans="2:4" x14ac:dyDescent="0.25">
      <c r="B7" s="12" t="s">
        <v>392</v>
      </c>
    </row>
    <row r="8" spans="2:4" x14ac:dyDescent="0.25">
      <c r="B8" s="513" t="s">
        <v>393</v>
      </c>
      <c r="C8" s="280" t="s">
        <v>497</v>
      </c>
      <c r="D8" s="130"/>
    </row>
    <row r="9" spans="2:4" x14ac:dyDescent="0.25">
      <c r="B9" s="513"/>
      <c r="C9" t="s">
        <v>498</v>
      </c>
    </row>
    <row r="10" spans="2:4" x14ac:dyDescent="0.25">
      <c r="B10" s="513"/>
      <c r="C10" t="s">
        <v>499</v>
      </c>
    </row>
    <row r="11" spans="2:4" x14ac:dyDescent="0.25">
      <c r="B11" s="513"/>
    </row>
    <row r="12" spans="2:4" x14ac:dyDescent="0.25">
      <c r="B12" s="513"/>
      <c r="C12" t="s">
        <v>698</v>
      </c>
    </row>
    <row r="13" spans="2:4" x14ac:dyDescent="0.25">
      <c r="B13" s="513"/>
      <c r="C13" t="s">
        <v>699</v>
      </c>
    </row>
    <row r="14" spans="2:4" x14ac:dyDescent="0.25">
      <c r="B14" s="513"/>
      <c r="C14" t="s">
        <v>503</v>
      </c>
    </row>
    <row r="15" spans="2:4" x14ac:dyDescent="0.25">
      <c r="B15" s="513"/>
    </row>
    <row r="16" spans="2:4" x14ac:dyDescent="0.25">
      <c r="B16" s="513"/>
    </row>
    <row r="17" spans="2:5" x14ac:dyDescent="0.25">
      <c r="B17" s="513"/>
      <c r="D17" s="314" t="s">
        <v>691</v>
      </c>
    </row>
    <row r="18" spans="2:5" x14ac:dyDescent="0.25">
      <c r="B18" s="513"/>
      <c r="C18" t="s">
        <v>696</v>
      </c>
      <c r="D18" s="550">
        <v>5.7599999999999998E-2</v>
      </c>
      <c r="E18" t="s">
        <v>672</v>
      </c>
    </row>
    <row r="19" spans="2:5" x14ac:dyDescent="0.25">
      <c r="B19" s="513"/>
      <c r="C19" t="s">
        <v>697</v>
      </c>
      <c r="D19" s="550">
        <v>5.8000000000000003E-2</v>
      </c>
      <c r="E19" t="s">
        <v>672</v>
      </c>
    </row>
    <row r="20" spans="2:5" x14ac:dyDescent="0.25">
      <c r="B20" s="513"/>
      <c r="C20" t="s">
        <v>692</v>
      </c>
      <c r="D20" s="550">
        <v>0.03</v>
      </c>
      <c r="E20" t="s">
        <v>689</v>
      </c>
    </row>
    <row r="21" spans="2:5" x14ac:dyDescent="0.25">
      <c r="B21" s="513"/>
      <c r="C21" t="s">
        <v>693</v>
      </c>
      <c r="D21" s="550">
        <v>6.5000000000000002E-2</v>
      </c>
      <c r="E21" t="s">
        <v>689</v>
      </c>
    </row>
    <row r="22" spans="2:5" x14ac:dyDescent="0.25">
      <c r="B22" s="513"/>
      <c r="C22" t="s">
        <v>694</v>
      </c>
      <c r="D22" s="550">
        <v>0.06</v>
      </c>
      <c r="E22" t="s">
        <v>672</v>
      </c>
    </row>
    <row r="23" spans="2:5" x14ac:dyDescent="0.25">
      <c r="B23" s="513"/>
      <c r="C23" t="s">
        <v>695</v>
      </c>
      <c r="D23" s="550">
        <v>0.06</v>
      </c>
      <c r="E23" t="s">
        <v>672</v>
      </c>
    </row>
    <row r="24" spans="2:5" x14ac:dyDescent="0.25">
      <c r="B24" s="513"/>
      <c r="D24" s="45"/>
    </row>
    <row r="25" spans="2:5" x14ac:dyDescent="0.25">
      <c r="B25" s="513" t="s">
        <v>394</v>
      </c>
      <c r="C25" s="139"/>
      <c r="D25" s="139"/>
      <c r="E25" s="139"/>
    </row>
    <row r="26" spans="2:5" x14ac:dyDescent="0.25">
      <c r="B26" s="513"/>
    </row>
    <row r="27" spans="2:5" x14ac:dyDescent="0.25">
      <c r="B27" s="513"/>
    </row>
  </sheetData>
  <sheetProtection algorithmName="SHA-512" hashValue="hHgaLK32X+6mgGa6MKIXUt0YOP1xR9uMHESkr1eIBazE6h6WnExf9lBDpnLObK5cMv1LJPkkSblVf+8v28Exdg==" saltValue="K5udoGJmVFNXtqcqv4aydg==" spinCount="100000" sheet="1" objects="1" scenarios="1"/>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Info</vt:lpstr>
      <vt:lpstr>Groups</vt:lpstr>
      <vt:lpstr>EF</vt:lpstr>
      <vt:lpstr>Normtal</vt:lpstr>
      <vt:lpstr>CH4_Gylle_Stald&amp;Lager</vt:lpstr>
      <vt:lpstr>N2O_Gylle_Stald&amp;Lager</vt:lpstr>
      <vt:lpstr>EntericFer &amp; FeedCultiv</vt:lpstr>
      <vt:lpstr>Summary</vt:lpstr>
      <vt:lpstr>CH4_enterisk, formulas</vt:lpstr>
    </vt:vector>
  </TitlesOfParts>
  <Company>LF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Lone Harder Waldemar</dc:creator>
  <cp:lastModifiedBy>Alberto Maresca</cp:lastModifiedBy>
  <dcterms:created xsi:type="dcterms:W3CDTF">2015-02-24T13:53:46Z</dcterms:created>
  <dcterms:modified xsi:type="dcterms:W3CDTF">2022-12-05T11:06:55Z</dcterms:modified>
</cp:coreProperties>
</file>