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Ledelse&amp;Økonomi\LandbrugsInfo\01-LandbrugsInfo\23-Promille\"/>
    </mc:Choice>
  </mc:AlternateContent>
  <xr:revisionPtr revIDLastSave="0" documentId="8_{6C15DCDB-AC1B-4218-AB00-015D4B864B1F}" xr6:coauthVersionLast="47" xr6:coauthVersionMax="47" xr10:uidLastSave="{00000000-0000-0000-0000-000000000000}"/>
  <bookViews>
    <workbookView xWindow="25080" yWindow="-465" windowWidth="29040" windowHeight="15840" xr2:uid="{00000000-000D-0000-FFFF-FFFF00000000}"/>
  </bookViews>
  <sheets>
    <sheet name="Introduktion" sheetId="4" r:id="rId1"/>
    <sheet name="Indtastning" sheetId="1" r:id="rId2"/>
    <sheet name="Følsomhedsberegning" sheetId="2" r:id="rId3"/>
  </sheets>
  <definedNames>
    <definedName name="_xlnm.Print_Area" localSheetId="2">Følsomhedsberegning!$A$2:$F$49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" i="2" l="1"/>
  <c r="D22" i="2"/>
  <c r="E22" i="2"/>
  <c r="F22" i="2"/>
  <c r="C96" i="1"/>
  <c r="D96" i="1"/>
  <c r="E96" i="1"/>
  <c r="F96" i="1"/>
  <c r="C90" i="1"/>
  <c r="D90" i="1"/>
  <c r="E90" i="1"/>
  <c r="C88" i="1"/>
  <c r="D88" i="1"/>
  <c r="E88" i="1"/>
  <c r="F88" i="1"/>
  <c r="F90" i="1" s="1"/>
  <c r="C76" i="1"/>
  <c r="D76" i="1"/>
  <c r="E76" i="1"/>
  <c r="F76" i="1"/>
  <c r="C49" i="1"/>
  <c r="C56" i="1" s="1"/>
  <c r="D49" i="1"/>
  <c r="D56" i="1" s="1"/>
  <c r="E49" i="1"/>
  <c r="E56" i="1" s="1"/>
  <c r="F49" i="1"/>
  <c r="F56" i="1" s="1"/>
  <c r="B88" i="1"/>
  <c r="B72" i="1"/>
  <c r="B104" i="1" s="1"/>
  <c r="B71" i="1"/>
  <c r="B103" i="1" s="1"/>
  <c r="B22" i="2"/>
  <c r="B154" i="1" s="1"/>
  <c r="C46" i="2"/>
  <c r="D46" i="2"/>
  <c r="E46" i="2"/>
  <c r="F46" i="2"/>
  <c r="A159" i="1"/>
  <c r="A160" i="1"/>
  <c r="C29" i="2"/>
  <c r="D29" i="2"/>
  <c r="E29" i="2"/>
  <c r="F29" i="2"/>
  <c r="C24" i="2"/>
  <c r="D24" i="2"/>
  <c r="E24" i="2"/>
  <c r="E25" i="2" s="1"/>
  <c r="F24" i="2"/>
  <c r="C17" i="2"/>
  <c r="D17" i="2"/>
  <c r="E17" i="2"/>
  <c r="F17" i="2"/>
  <c r="C18" i="2"/>
  <c r="D18" i="2"/>
  <c r="E18" i="2"/>
  <c r="F18" i="2"/>
  <c r="C11" i="2"/>
  <c r="D11" i="2"/>
  <c r="E11" i="2"/>
  <c r="F11" i="2"/>
  <c r="F38" i="2" s="1"/>
  <c r="A161" i="1"/>
  <c r="B29" i="2"/>
  <c r="B18" i="2"/>
  <c r="B152" i="1" s="1"/>
  <c r="B11" i="2"/>
  <c r="B38" i="2" s="1"/>
  <c r="B17" i="2"/>
  <c r="B150" i="1" s="1"/>
  <c r="B98" i="2"/>
  <c r="C95" i="2"/>
  <c r="C93" i="2"/>
  <c r="D93" i="2" s="1"/>
  <c r="E93" i="2" s="1"/>
  <c r="F93" i="2" s="1"/>
  <c r="C92" i="2"/>
  <c r="C85" i="2"/>
  <c r="D85" i="2" s="1"/>
  <c r="E85" i="2" s="1"/>
  <c r="F85" i="2" s="1"/>
  <c r="F84" i="2"/>
  <c r="E84" i="2"/>
  <c r="D84" i="2"/>
  <c r="C84" i="2"/>
  <c r="B84" i="2"/>
  <c r="F34" i="2"/>
  <c r="E34" i="2"/>
  <c r="D34" i="2"/>
  <c r="C34" i="2"/>
  <c r="B34" i="2"/>
  <c r="F33" i="2"/>
  <c r="E33" i="2"/>
  <c r="D33" i="2"/>
  <c r="C33" i="2"/>
  <c r="B33" i="2"/>
  <c r="A155" i="1"/>
  <c r="A151" i="1"/>
  <c r="A149" i="1"/>
  <c r="A147" i="1"/>
  <c r="A145" i="1"/>
  <c r="A143" i="1"/>
  <c r="D25" i="2" l="1"/>
  <c r="C25" i="2"/>
  <c r="E40" i="2"/>
  <c r="E38" i="2"/>
  <c r="D38" i="2"/>
  <c r="D40" i="2" s="1"/>
  <c r="C38" i="2"/>
  <c r="C40" i="2" s="1"/>
  <c r="F40" i="2"/>
  <c r="B40" i="2"/>
  <c r="B148" i="1"/>
  <c r="B24" i="2"/>
  <c r="F25" i="2"/>
  <c r="D88" i="2"/>
  <c r="E88" i="2"/>
  <c r="C88" i="2"/>
  <c r="F88" i="2"/>
  <c r="D92" i="2"/>
  <c r="B76" i="1"/>
  <c r="C85" i="1"/>
  <c r="D85" i="1"/>
  <c r="E85" i="1"/>
  <c r="F85" i="1"/>
  <c r="B85" i="1"/>
  <c r="B84" i="1"/>
  <c r="B12" i="1"/>
  <c r="B25" i="2" l="1"/>
  <c r="B156" i="1"/>
  <c r="D9" i="2"/>
  <c r="D13" i="2" s="1"/>
  <c r="F9" i="2"/>
  <c r="F13" i="2" s="1"/>
  <c r="C9" i="2"/>
  <c r="C13" i="2" s="1"/>
  <c r="E9" i="2"/>
  <c r="E13" i="2" s="1"/>
  <c r="E92" i="2"/>
  <c r="C32" i="1"/>
  <c r="D32" i="1"/>
  <c r="E32" i="1"/>
  <c r="F32" i="1"/>
  <c r="C33" i="1"/>
  <c r="D33" i="1"/>
  <c r="E33" i="1"/>
  <c r="F33" i="1"/>
  <c r="C34" i="1"/>
  <c r="D34" i="1"/>
  <c r="E34" i="1"/>
  <c r="F34" i="1"/>
  <c r="C35" i="1"/>
  <c r="D35" i="1"/>
  <c r="E35" i="1"/>
  <c r="F35" i="1"/>
  <c r="B34" i="1"/>
  <c r="B33" i="1"/>
  <c r="B32" i="1"/>
  <c r="F92" i="2" l="1"/>
  <c r="F124" i="1"/>
  <c r="F42" i="2"/>
  <c r="F84" i="1"/>
  <c r="F31" i="1"/>
  <c r="F13" i="1" s="1"/>
  <c r="F40" i="1" l="1"/>
  <c r="F7" i="2" l="1"/>
  <c r="F15" i="2" s="1"/>
  <c r="F20" i="2" s="1"/>
  <c r="F58" i="1"/>
  <c r="F64" i="1" s="1"/>
  <c r="F78" i="1" s="1"/>
  <c r="F82" i="1" s="1"/>
  <c r="F27" i="2" l="1"/>
  <c r="F31" i="2" s="1"/>
  <c r="F36" i="2" s="1"/>
  <c r="F44" i="2" s="1"/>
  <c r="F47" i="2" s="1"/>
  <c r="B35" i="1"/>
  <c r="B31" i="1"/>
  <c r="B13" i="1" s="1"/>
  <c r="F86" i="1" l="1"/>
  <c r="B40" i="1"/>
  <c r="E31" i="1"/>
  <c r="E13" i="1" s="1"/>
  <c r="B7" i="2" l="1"/>
  <c r="F101" i="1"/>
  <c r="F109" i="1" s="1"/>
  <c r="F126" i="1" s="1"/>
  <c r="F98" i="1"/>
  <c r="F137" i="1"/>
  <c r="F139" i="1" s="1"/>
  <c r="E40" i="1"/>
  <c r="E58" i="1" s="1"/>
  <c r="E64" i="1" s="1"/>
  <c r="E78" i="1" s="1"/>
  <c r="E82" i="1" s="1"/>
  <c r="D31" i="1"/>
  <c r="D13" i="1" s="1"/>
  <c r="C31" i="1"/>
  <c r="C13" i="1" s="1"/>
  <c r="B144" i="1" l="1"/>
  <c r="E7" i="2"/>
  <c r="D40" i="1"/>
  <c r="D58" i="1" s="1"/>
  <c r="D64" i="1" s="1"/>
  <c r="D78" i="1" s="1"/>
  <c r="D82" i="1" s="1"/>
  <c r="C40" i="1"/>
  <c r="C58" i="1" s="1"/>
  <c r="C64" i="1" s="1"/>
  <c r="C78" i="1" s="1"/>
  <c r="C82" i="1" s="1"/>
  <c r="E20" i="2" l="1"/>
  <c r="E15" i="2"/>
  <c r="C7" i="2"/>
  <c r="D7" i="2"/>
  <c r="D84" i="1"/>
  <c r="E84" i="1"/>
  <c r="C84" i="1"/>
  <c r="D20" i="2" l="1"/>
  <c r="D15" i="2"/>
  <c r="C15" i="2"/>
  <c r="C20" i="2" s="1"/>
  <c r="E27" i="2"/>
  <c r="E31" i="2" s="1"/>
  <c r="E36" i="2" s="1"/>
  <c r="B96" i="1"/>
  <c r="B42" i="2" s="1"/>
  <c r="D42" i="2"/>
  <c r="E42" i="2"/>
  <c r="C42" i="2"/>
  <c r="E44" i="2" l="1"/>
  <c r="E47" i="2" s="1"/>
  <c r="D27" i="2"/>
  <c r="D31" i="2" s="1"/>
  <c r="D36" i="2" s="1"/>
  <c r="D44" i="2" s="1"/>
  <c r="D47" i="2" s="1"/>
  <c r="C27" i="2"/>
  <c r="C31" i="2" s="1"/>
  <c r="C36" i="2" s="1"/>
  <c r="C44" i="2" s="1"/>
  <c r="C47" i="2" s="1"/>
  <c r="C96" i="2"/>
  <c r="C94" i="2" s="1"/>
  <c r="D95" i="2" s="1"/>
  <c r="D96" i="2" s="1"/>
  <c r="D94" i="2" s="1"/>
  <c r="D98" i="2" s="1"/>
  <c r="C98" i="2" l="1"/>
  <c r="E95" i="2"/>
  <c r="E96" i="2" s="1"/>
  <c r="E94" i="2" s="1"/>
  <c r="E99" i="2" l="1"/>
  <c r="F95" i="2"/>
  <c r="E98" i="2"/>
  <c r="B124" i="1"/>
  <c r="C124" i="1"/>
  <c r="D124" i="1"/>
  <c r="E124" i="1"/>
  <c r="F96" i="2" l="1"/>
  <c r="F94" i="2" s="1"/>
  <c r="F98" i="2" s="1"/>
  <c r="F99" i="2"/>
  <c r="B90" i="1"/>
  <c r="B49" i="1"/>
  <c r="B9" i="2" s="1"/>
  <c r="B13" i="2" l="1"/>
  <c r="B146" i="1"/>
  <c r="B88" i="2"/>
  <c r="B89" i="2" s="1"/>
  <c r="B56" i="1"/>
  <c r="B58" i="1" s="1"/>
  <c r="B15" i="2" l="1"/>
  <c r="B159" i="1" s="1"/>
  <c r="C82" i="2"/>
  <c r="C89" i="2" s="1"/>
  <c r="B102" i="2"/>
  <c r="E86" i="1"/>
  <c r="B20" i="2" l="1"/>
  <c r="B27" i="2" s="1"/>
  <c r="B31" i="2" s="1"/>
  <c r="E101" i="1"/>
  <c r="E109" i="1" s="1"/>
  <c r="E126" i="1" s="1"/>
  <c r="E98" i="1"/>
  <c r="D82" i="2"/>
  <c r="D89" i="2" s="1"/>
  <c r="C102" i="2"/>
  <c r="B64" i="1"/>
  <c r="B78" i="1" l="1"/>
  <c r="B82" i="1" s="1"/>
  <c r="B86" i="1" s="1"/>
  <c r="B36" i="2"/>
  <c r="B44" i="2" s="1"/>
  <c r="B160" i="1"/>
  <c r="E82" i="2"/>
  <c r="E89" i="2" s="1"/>
  <c r="D102" i="2"/>
  <c r="B98" i="1" l="1"/>
  <c r="B101" i="1"/>
  <c r="B109" i="1" s="1"/>
  <c r="F82" i="2"/>
  <c r="F89" i="2" s="1"/>
  <c r="F102" i="2" s="1"/>
  <c r="E102" i="2"/>
  <c r="C86" i="1" l="1"/>
  <c r="C101" i="1" l="1"/>
  <c r="C109" i="1" s="1"/>
  <c r="C126" i="1" s="1"/>
  <c r="C98" i="1"/>
  <c r="C137" i="1"/>
  <c r="C139" i="1" s="1"/>
  <c r="D86" i="1" l="1"/>
  <c r="D101" i="1" l="1"/>
  <c r="D109" i="1" s="1"/>
  <c r="D126" i="1" s="1"/>
  <c r="D137" i="1" s="1"/>
  <c r="D139" i="1" s="1"/>
  <c r="D98" i="1"/>
  <c r="E137" i="1" l="1"/>
  <c r="E139" i="1" s="1"/>
  <c r="B46" i="2"/>
  <c r="B47" i="2" s="1"/>
  <c r="B126" i="1"/>
  <c r="B137" i="1" l="1"/>
  <c r="B139" i="1" s="1"/>
  <c r="B161" i="1"/>
</calcChain>
</file>

<file path=xl/sharedStrings.xml><?xml version="1.0" encoding="utf-8"?>
<sst xmlns="http://schemas.openxmlformats.org/spreadsheetml/2006/main" count="205" uniqueCount="152">
  <si>
    <t>Resultatopgørelse</t>
  </si>
  <si>
    <t>Maskinstation</t>
  </si>
  <si>
    <t>Vedligehold</t>
  </si>
  <si>
    <t>Ejd.skat og forsikringer</t>
  </si>
  <si>
    <t>Diverse</t>
  </si>
  <si>
    <t>Kontante kapacitetsomkostninger</t>
  </si>
  <si>
    <t>Kapacitetsomkostninger i alt</t>
  </si>
  <si>
    <t>Udlejning af ejendom</t>
  </si>
  <si>
    <t>Resultat før finansiering</t>
  </si>
  <si>
    <t>Prioritetsomkostninger</t>
  </si>
  <si>
    <t>Resultat af primær drift</t>
  </si>
  <si>
    <t>Finansiering i alt</t>
  </si>
  <si>
    <t>Resultat efter finansiering</t>
  </si>
  <si>
    <t>Resultat før skat</t>
  </si>
  <si>
    <t>Likviditet</t>
  </si>
  <si>
    <t>Tilb.førte afskrivninger</t>
  </si>
  <si>
    <t>Tilbageførsel i alt</t>
  </si>
  <si>
    <t>Betalt skat</t>
  </si>
  <si>
    <t>Privat udtræk, skat og pension i alt</t>
  </si>
  <si>
    <t>Likviditet efter regulering og privat</t>
  </si>
  <si>
    <t>Beboelse</t>
  </si>
  <si>
    <t>Investeringer i alt</t>
  </si>
  <si>
    <t>Likviditetsoverskud/ -behov</t>
  </si>
  <si>
    <t>Tilgodehavende</t>
  </si>
  <si>
    <t>Værdipapirer</t>
  </si>
  <si>
    <t>Likvider, indlån og KK pos.</t>
  </si>
  <si>
    <t>Realkreditinstitutter</t>
  </si>
  <si>
    <t>Leasingforpligtigelser</t>
  </si>
  <si>
    <t>Moms og afgifter</t>
  </si>
  <si>
    <t>Kassekredit</t>
  </si>
  <si>
    <t>Likviditetsanvendelse/ -fremskaffelse</t>
  </si>
  <si>
    <t>DB mark</t>
  </si>
  <si>
    <t>Andre landbrugsindtægter</t>
  </si>
  <si>
    <t>Lønomkostninger</t>
  </si>
  <si>
    <t>Inventar husdyrbrug</t>
  </si>
  <si>
    <t>Pengeinstitutter</t>
  </si>
  <si>
    <t>Antal hektar</t>
  </si>
  <si>
    <t>KK primo</t>
  </si>
  <si>
    <t>KK ultimo</t>
  </si>
  <si>
    <t>Gennemsnitlige træk</t>
  </si>
  <si>
    <t>KK rente</t>
  </si>
  <si>
    <t>KK ultimo, ekskl KK rente</t>
  </si>
  <si>
    <t>Pensionsindbetaling</t>
  </si>
  <si>
    <t>Aktiver primo</t>
  </si>
  <si>
    <t xml:space="preserve">Afskrivninger </t>
  </si>
  <si>
    <t>Investeringer</t>
  </si>
  <si>
    <t>Aktiver ultimo</t>
  </si>
  <si>
    <t>Kreditforeningsgæld, ultimo</t>
  </si>
  <si>
    <t>Bankgæld, ultimo</t>
  </si>
  <si>
    <t>Anden gæld og moms</t>
  </si>
  <si>
    <t>Egenkapital, ultimo</t>
  </si>
  <si>
    <t>Leasingforpligtigelser, ultimo</t>
  </si>
  <si>
    <t>Passiver i alt</t>
  </si>
  <si>
    <t>Balance</t>
  </si>
  <si>
    <t>Udskudt skat</t>
  </si>
  <si>
    <t>Renteudgifter realkredit</t>
  </si>
  <si>
    <t>Renteudgift pengeinstitut/løs gæld</t>
  </si>
  <si>
    <t xml:space="preserve">Bil </t>
  </si>
  <si>
    <t>Driftsbygninger</t>
  </si>
  <si>
    <t>Private indtægter/omkostninger</t>
  </si>
  <si>
    <t>Anden gæld/købekontr./moms &amp; afgifter</t>
  </si>
  <si>
    <t>Inventar markbrug</t>
  </si>
  <si>
    <t>Tilskud optaget som gæld</t>
  </si>
  <si>
    <t>Til investering og afdrag</t>
  </si>
  <si>
    <t>DB på slagtesvin</t>
  </si>
  <si>
    <t>Maskinstationsindtægter</t>
  </si>
  <si>
    <t>El</t>
  </si>
  <si>
    <t>Antal årskøer</t>
  </si>
  <si>
    <t>Kg EKM leveret</t>
  </si>
  <si>
    <t>DB pr. kg. EKM</t>
  </si>
  <si>
    <t>DB årskøer</t>
  </si>
  <si>
    <t>Antal årssøer</t>
  </si>
  <si>
    <t>DB pr. årsko</t>
  </si>
  <si>
    <t>DB pr. årsso</t>
  </si>
  <si>
    <t>DB pr. smågris</t>
  </si>
  <si>
    <t>Antal smågrise- 25-30 kg</t>
  </si>
  <si>
    <t>DB pr. sl. gris</t>
  </si>
  <si>
    <t>Antal solgte sl. grise</t>
  </si>
  <si>
    <t>DB pr. hektar</t>
  </si>
  <si>
    <t>Scenarie 1</t>
  </si>
  <si>
    <t>Scenarie 2</t>
  </si>
  <si>
    <t>Scenarie 3</t>
  </si>
  <si>
    <t>Scenarie 4</t>
  </si>
  <si>
    <t>Scenarie 5</t>
  </si>
  <si>
    <t>DB årsso</t>
  </si>
  <si>
    <t>DB smågrise</t>
  </si>
  <si>
    <t>EU-støtte</t>
  </si>
  <si>
    <t>Salg af certificater</t>
  </si>
  <si>
    <t>Andre indtægter uden for landbrug</t>
  </si>
  <si>
    <t>Nedskrivninger (negativ)</t>
  </si>
  <si>
    <t>Brændstof, energi</t>
  </si>
  <si>
    <t>Dækningsbidrag i alt</t>
  </si>
  <si>
    <t>Afskrivninger inventar</t>
  </si>
  <si>
    <t>Afskrivninger Bygninger</t>
  </si>
  <si>
    <t>Afskrivninge maskiner</t>
  </si>
  <si>
    <t>Renteudg. finansiel leasing/købekontakt</t>
  </si>
  <si>
    <t xml:space="preserve">Investeringer </t>
  </si>
  <si>
    <t>Renteudgifter driftskreditter</t>
  </si>
  <si>
    <t>Privat udtræk fra virksomheden</t>
  </si>
  <si>
    <t>Energi investering</t>
  </si>
  <si>
    <t>Jord (1)</t>
  </si>
  <si>
    <t>Jord (2)</t>
  </si>
  <si>
    <t>Maskiner</t>
  </si>
  <si>
    <t>Besætning</t>
  </si>
  <si>
    <t>Beholdninger</t>
  </si>
  <si>
    <t>Køb/salg af ejendom (negativ)</t>
  </si>
  <si>
    <t>Afdrag Pengeinstitutter</t>
  </si>
  <si>
    <t>Afdrag Realkreditinstitutter</t>
  </si>
  <si>
    <t>Likviditetesresultat</t>
  </si>
  <si>
    <t>Følsomhed</t>
  </si>
  <si>
    <t>Rente og finansieringudgifter</t>
  </si>
  <si>
    <t xml:space="preserve">Forpagtning i alt </t>
  </si>
  <si>
    <t>Private indtægter/omkostninger (-)</t>
  </si>
  <si>
    <t>Andre omkostninger uden for landbrug (-)</t>
  </si>
  <si>
    <t>Afdrag i alt</t>
  </si>
  <si>
    <t>Forpagtninger i alt</t>
  </si>
  <si>
    <t>Ændring  i %</t>
  </si>
  <si>
    <t>Jord - græsarealer mm</t>
  </si>
  <si>
    <t>Jord - agerarealer</t>
  </si>
  <si>
    <t xml:space="preserve">Køb/salg af ejendom </t>
  </si>
  <si>
    <t>Finansiering 1 hele år</t>
  </si>
  <si>
    <t>Grovbudget-scenarier</t>
  </si>
  <si>
    <t>Hjælpeværktøj til følsomhedsberegning</t>
  </si>
  <si>
    <t xml:space="preserve">CO2 afgift (husk minus) </t>
  </si>
  <si>
    <t>Renter inkl adm omkostning lang gæld</t>
  </si>
  <si>
    <t>Renter inkl adm omkostning kort gæld</t>
  </si>
  <si>
    <t>Ændring i andre indtægter, i kr.</t>
  </si>
  <si>
    <t>Ændring i forpagtning, i kr.</t>
  </si>
  <si>
    <t>Ændring i renteudg. Mm, i kr.</t>
  </si>
  <si>
    <t>Ændring i Dækningsbidrg, i kr.</t>
  </si>
  <si>
    <t>Ændring i KK, i kr.</t>
  </si>
  <si>
    <t>Ændring i Afskrivning, i kr.</t>
  </si>
  <si>
    <t>Ændring i EU-støtte, i kr.</t>
  </si>
  <si>
    <t>Der kan skrives i gule celler</t>
  </si>
  <si>
    <t xml:space="preserve">Bortforpagtning (indtægt) </t>
  </si>
  <si>
    <t>Forpagtningsudgift (-)</t>
  </si>
  <si>
    <t>Renteindtægter</t>
  </si>
  <si>
    <t>Formueindtægter (+) / -udgifter (-)</t>
  </si>
  <si>
    <t>Udgiver:</t>
  </si>
  <si>
    <t>SEGES Innovation P/S</t>
  </si>
  <si>
    <t>Udgivelsesdato:</t>
  </si>
  <si>
    <t>Forfatter:</t>
  </si>
  <si>
    <t>Version:</t>
  </si>
  <si>
    <t>1.0</t>
  </si>
  <si>
    <t>Datagrundlag og opdateringsfrekvens:</t>
  </si>
  <si>
    <t>Opdateres ikke</t>
  </si>
  <si>
    <t>Dokument:</t>
  </si>
  <si>
    <t>Ansvar:</t>
  </si>
  <si>
    <t>Se vilkår</t>
  </si>
  <si>
    <t>Regneark vedr. grovbudget</t>
  </si>
  <si>
    <t>Karen Jørgensen</t>
  </si>
  <si>
    <t>Sådan bruger du investeringsoversigten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</si>
</sst>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6EAF8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6EAF8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8C7B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0" fillId="0" borderId="0" xfId="0" applyNumberFormat="1"/>
    <xf numFmtId="0" fontId="0" fillId="0" borderId="0" xfId="0" applyFont="1"/>
    <xf numFmtId="3" fontId="0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1" fontId="1" fillId="0" borderId="0" xfId="0" applyNumberFormat="1" applyFont="1"/>
    <xf numFmtId="3" fontId="0" fillId="0" borderId="0" xfId="0" applyNumberFormat="1" applyFill="1"/>
    <xf numFmtId="0" fontId="4" fillId="0" borderId="0" xfId="0" applyFont="1"/>
    <xf numFmtId="14" fontId="5" fillId="0" borderId="0" xfId="0" applyNumberFormat="1" applyFont="1"/>
    <xf numFmtId="4" fontId="0" fillId="0" borderId="0" xfId="0" applyNumberFormat="1"/>
    <xf numFmtId="0" fontId="0" fillId="0" borderId="0" xfId="0" applyFill="1"/>
    <xf numFmtId="3" fontId="0" fillId="2" borderId="0" xfId="0" applyNumberFormat="1" applyFill="1"/>
    <xf numFmtId="3" fontId="8" fillId="0" borderId="0" xfId="0" applyNumberFormat="1" applyFont="1"/>
    <xf numFmtId="0" fontId="8" fillId="0" borderId="0" xfId="0" applyFont="1"/>
    <xf numFmtId="10" fontId="0" fillId="2" borderId="0" xfId="0" applyNumberFormat="1" applyFill="1"/>
    <xf numFmtId="3" fontId="0" fillId="2" borderId="0" xfId="0" applyNumberFormat="1" applyFont="1" applyFill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3" fontId="0" fillId="2" borderId="1" xfId="0" applyNumberFormat="1" applyFill="1" applyBorder="1"/>
    <xf numFmtId="4" fontId="0" fillId="0" borderId="1" xfId="0" applyNumberFormat="1" applyBorder="1"/>
    <xf numFmtId="3" fontId="0" fillId="0" borderId="1" xfId="0" applyNumberFormat="1" applyBorder="1"/>
    <xf numFmtId="3" fontId="8" fillId="0" borderId="1" xfId="0" applyNumberFormat="1" applyFon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/>
    <xf numFmtId="3" fontId="0" fillId="2" borderId="1" xfId="0" applyNumberFormat="1" applyFont="1" applyFill="1" applyBorder="1"/>
    <xf numFmtId="10" fontId="0" fillId="2" borderId="1" xfId="0" applyNumberFormat="1" applyFill="1" applyBorder="1"/>
    <xf numFmtId="3" fontId="4" fillId="0" borderId="1" xfId="0" applyNumberFormat="1" applyFont="1" applyBorder="1"/>
    <xf numFmtId="3" fontId="6" fillId="0" borderId="1" xfId="0" applyNumberFormat="1" applyFont="1" applyBorder="1"/>
    <xf numFmtId="0" fontId="0" fillId="0" borderId="2" xfId="0" applyBorder="1"/>
    <xf numFmtId="3" fontId="0" fillId="2" borderId="2" xfId="0" applyNumberFormat="1" applyFill="1" applyBorder="1"/>
    <xf numFmtId="3" fontId="0" fillId="2" borderId="3" xfId="0" applyNumberFormat="1" applyFill="1" applyBorder="1"/>
    <xf numFmtId="3" fontId="0" fillId="0" borderId="2" xfId="0" applyNumberFormat="1" applyBorder="1"/>
    <xf numFmtId="3" fontId="0" fillId="0" borderId="3" xfId="0" applyNumberFormat="1" applyBorder="1"/>
    <xf numFmtId="0" fontId="2" fillId="0" borderId="0" xfId="0" applyFont="1" applyAlignment="1"/>
    <xf numFmtId="0" fontId="6" fillId="0" borderId="0" xfId="0" applyFont="1"/>
    <xf numFmtId="3" fontId="0" fillId="0" borderId="1" xfId="0" applyNumberFormat="1" applyFill="1" applyBorder="1"/>
    <xf numFmtId="0" fontId="1" fillId="0" borderId="2" xfId="0" applyFont="1" applyBorder="1"/>
    <xf numFmtId="3" fontId="1" fillId="0" borderId="2" xfId="0" applyNumberFormat="1" applyFont="1" applyBorder="1"/>
    <xf numFmtId="0" fontId="6" fillId="0" borderId="2" xfId="0" applyFont="1" applyBorder="1"/>
    <xf numFmtId="0" fontId="10" fillId="0" borderId="0" xfId="0" applyFont="1"/>
    <xf numFmtId="0" fontId="11" fillId="0" borderId="0" xfId="0" applyFont="1"/>
    <xf numFmtId="0" fontId="3" fillId="0" borderId="2" xfId="0" applyFont="1" applyBorder="1"/>
    <xf numFmtId="0" fontId="12" fillId="0" borderId="0" xfId="0" applyFont="1"/>
    <xf numFmtId="0" fontId="13" fillId="0" borderId="0" xfId="0" applyFont="1" applyFill="1"/>
    <xf numFmtId="9" fontId="0" fillId="0" borderId="0" xfId="1" applyFont="1"/>
    <xf numFmtId="0" fontId="0" fillId="0" borderId="0" xfId="0" applyBorder="1"/>
    <xf numFmtId="3" fontId="1" fillId="0" borderId="0" xfId="0" applyNumberFormat="1" applyFont="1" applyFill="1"/>
    <xf numFmtId="3" fontId="1" fillId="0" borderId="1" xfId="0" applyNumberFormat="1" applyFont="1" applyFill="1" applyBorder="1"/>
    <xf numFmtId="0" fontId="1" fillId="0" borderId="0" xfId="0" applyFont="1" applyBorder="1"/>
    <xf numFmtId="3" fontId="1" fillId="0" borderId="0" xfId="0" applyNumberFormat="1" applyFont="1" applyBorder="1"/>
    <xf numFmtId="0" fontId="0" fillId="3" borderId="0" xfId="0" applyFont="1" applyFill="1"/>
    <xf numFmtId="3" fontId="0" fillId="3" borderId="0" xfId="0" applyNumberFormat="1" applyFont="1" applyFill="1"/>
    <xf numFmtId="0" fontId="0" fillId="3" borderId="2" xfId="0" applyFont="1" applyFill="1" applyBorder="1"/>
    <xf numFmtId="3" fontId="0" fillId="3" borderId="2" xfId="0" applyNumberFormat="1" applyFont="1" applyFill="1" applyBorder="1"/>
    <xf numFmtId="3" fontId="0" fillId="3" borderId="1" xfId="0" applyNumberFormat="1" applyFont="1" applyFill="1" applyBorder="1"/>
    <xf numFmtId="0" fontId="10" fillId="3" borderId="0" xfId="0" applyFont="1" applyFill="1"/>
    <xf numFmtId="0" fontId="14" fillId="0" borderId="0" xfId="0" applyFont="1"/>
    <xf numFmtId="0" fontId="0" fillId="4" borderId="0" xfId="0" applyFont="1" applyFill="1"/>
    <xf numFmtId="3" fontId="0" fillId="4" borderId="0" xfId="0" applyNumberFormat="1" applyFont="1" applyFill="1"/>
    <xf numFmtId="0" fontId="1" fillId="0" borderId="0" xfId="0" applyFont="1" applyFill="1"/>
    <xf numFmtId="0" fontId="10" fillId="4" borderId="0" xfId="0" applyFont="1" applyFill="1"/>
    <xf numFmtId="3" fontId="10" fillId="4" borderId="0" xfId="0" applyNumberFormat="1" applyFont="1" applyFill="1"/>
    <xf numFmtId="0" fontId="15" fillId="0" borderId="0" xfId="0" applyFont="1"/>
    <xf numFmtId="0" fontId="15" fillId="0" borderId="2" xfId="0" applyFont="1" applyBorder="1"/>
    <xf numFmtId="0" fontId="16" fillId="0" borderId="0" xfId="0" applyFont="1"/>
    <xf numFmtId="3" fontId="16" fillId="0" borderId="0" xfId="0" applyNumberFormat="1" applyFont="1"/>
    <xf numFmtId="0" fontId="17" fillId="0" borderId="2" xfId="0" applyFont="1" applyBorder="1"/>
    <xf numFmtId="3" fontId="17" fillId="0" borderId="2" xfId="0" applyNumberFormat="1" applyFont="1" applyBorder="1"/>
    <xf numFmtId="0" fontId="19" fillId="0" borderId="0" xfId="0" applyFont="1"/>
    <xf numFmtId="3" fontId="0" fillId="6" borderId="0" xfId="0" applyNumberFormat="1" applyFill="1"/>
    <xf numFmtId="3" fontId="0" fillId="6" borderId="1" xfId="0" applyNumberFormat="1" applyFill="1" applyBorder="1"/>
    <xf numFmtId="4" fontId="0" fillId="6" borderId="0" xfId="0" applyNumberFormat="1" applyFill="1"/>
    <xf numFmtId="4" fontId="0" fillId="6" borderId="1" xfId="0" applyNumberFormat="1" applyFill="1" applyBorder="1"/>
    <xf numFmtId="3" fontId="0" fillId="6" borderId="2" xfId="0" applyNumberFormat="1" applyFill="1" applyBorder="1"/>
    <xf numFmtId="3" fontId="0" fillId="6" borderId="3" xfId="0" applyNumberFormat="1" applyFill="1" applyBorder="1"/>
    <xf numFmtId="3" fontId="0" fillId="6" borderId="0" xfId="0" applyNumberFormat="1" applyFont="1" applyFill="1"/>
    <xf numFmtId="3" fontId="1" fillId="6" borderId="0" xfId="0" applyNumberFormat="1" applyFont="1" applyFill="1"/>
    <xf numFmtId="3" fontId="0" fillId="6" borderId="2" xfId="0" applyNumberFormat="1" applyFont="1" applyFill="1" applyBorder="1"/>
    <xf numFmtId="3" fontId="1" fillId="6" borderId="2" xfId="0" applyNumberFormat="1" applyFont="1" applyFill="1" applyBorder="1"/>
    <xf numFmtId="2" fontId="0" fillId="6" borderId="0" xfId="1" applyNumberFormat="1" applyFont="1" applyFill="1"/>
    <xf numFmtId="2" fontId="0" fillId="6" borderId="0" xfId="0" applyNumberFormat="1" applyFill="1"/>
    <xf numFmtId="9" fontId="0" fillId="6" borderId="0" xfId="1" applyFont="1" applyFill="1"/>
    <xf numFmtId="3" fontId="15" fillId="0" borderId="0" xfId="0" applyNumberFormat="1" applyFont="1" applyFill="1"/>
    <xf numFmtId="3" fontId="10" fillId="6" borderId="0" xfId="0" applyNumberFormat="1" applyFont="1" applyFill="1"/>
    <xf numFmtId="3" fontId="6" fillId="6" borderId="1" xfId="0" applyNumberFormat="1" applyFont="1" applyFill="1" applyBorder="1"/>
    <xf numFmtId="3" fontId="0" fillId="0" borderId="0" xfId="1" applyNumberFormat="1" applyFont="1" applyFill="1"/>
    <xf numFmtId="3" fontId="0" fillId="0" borderId="0" xfId="0" applyNumberFormat="1" applyBorder="1"/>
    <xf numFmtId="0" fontId="21" fillId="6" borderId="0" xfId="0" applyFont="1" applyFill="1" applyAlignment="1">
      <alignment horizontal="right"/>
    </xf>
    <xf numFmtId="0" fontId="22" fillId="0" borderId="0" xfId="0" applyFont="1"/>
    <xf numFmtId="3" fontId="22" fillId="0" borderId="0" xfId="0" applyNumberFormat="1" applyFont="1" applyAlignment="1">
      <alignment horizontal="right"/>
    </xf>
    <xf numFmtId="3" fontId="22" fillId="0" borderId="1" xfId="0" applyNumberFormat="1" applyFont="1" applyBorder="1" applyAlignment="1">
      <alignment horizontal="right"/>
    </xf>
    <xf numFmtId="0" fontId="22" fillId="6" borderId="0" xfId="0" applyFont="1" applyFill="1" applyAlignment="1">
      <alignment horizontal="right"/>
    </xf>
    <xf numFmtId="0" fontId="22" fillId="6" borderId="1" xfId="0" applyFont="1" applyFill="1" applyBorder="1" applyAlignment="1">
      <alignment horizontal="right"/>
    </xf>
    <xf numFmtId="0" fontId="0" fillId="7" borderId="0" xfId="0" applyFill="1"/>
    <xf numFmtId="0" fontId="1" fillId="7" borderId="0" xfId="0" applyFont="1" applyFill="1"/>
    <xf numFmtId="0" fontId="25" fillId="0" borderId="0" xfId="0" applyFont="1"/>
    <xf numFmtId="0" fontId="0" fillId="0" borderId="4" xfId="0" applyBorder="1"/>
    <xf numFmtId="0" fontId="24" fillId="0" borderId="4" xfId="0" applyFont="1" applyBorder="1"/>
    <xf numFmtId="14" fontId="24" fillId="0" borderId="4" xfId="0" applyNumberFormat="1" applyFont="1" applyBorder="1" applyAlignment="1">
      <alignment horizontal="left"/>
    </xf>
    <xf numFmtId="3" fontId="24" fillId="0" borderId="4" xfId="0" applyNumberFormat="1" applyFont="1" applyBorder="1"/>
    <xf numFmtId="0" fontId="23" fillId="0" borderId="4" xfId="2" applyFill="1" applyBorder="1"/>
    <xf numFmtId="0" fontId="23" fillId="0" borderId="4" xfId="2" applyFill="1" applyBorder="1" applyAlignment="1" applyProtection="1">
      <protection locked="0"/>
    </xf>
    <xf numFmtId="0" fontId="20" fillId="5" borderId="0" xfId="0" applyFont="1" applyFill="1" applyAlignment="1">
      <alignment horizontal="center"/>
    </xf>
    <xf numFmtId="0" fontId="18" fillId="5" borderId="0" xfId="0" applyFont="1" applyFill="1" applyAlignment="1">
      <alignment horizontal="center"/>
    </xf>
  </cellXfs>
  <cellStyles count="3">
    <cellStyle name="Link" xfId="2" builtinId="8"/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6EAF89"/>
      <color rgb="FFFFFF99"/>
      <color rgb="FFA6E8A6"/>
      <color rgb="FF79DD79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381000</xdr:colOff>
      <xdr:row>3</xdr:row>
      <xdr:rowOff>92540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A37966EE-BE05-429C-B613-425BEC259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6200"/>
          <a:ext cx="1323975" cy="58784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0</xdr:row>
      <xdr:rowOff>85725</xdr:rowOff>
    </xdr:from>
    <xdr:to>
      <xdr:col>10</xdr:col>
      <xdr:colOff>364248</xdr:colOff>
      <xdr:row>3</xdr:row>
      <xdr:rowOff>105062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17038473-E647-464B-B7D1-E6C7598BF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91425" y="85725"/>
          <a:ext cx="4488573" cy="5908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0</xdr:row>
      <xdr:rowOff>76201</xdr:rowOff>
    </xdr:from>
    <xdr:to>
      <xdr:col>5</xdr:col>
      <xdr:colOff>1093862</xdr:colOff>
      <xdr:row>2</xdr:row>
      <xdr:rowOff>5955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13432176-7CFF-518F-5003-20F3C3843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76201"/>
          <a:ext cx="2875037" cy="348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landbrugsinfo.dk/public/e/c/b/finansiering_sadan_bruges_investeringsoversigten" TargetMode="External"/><Relationship Id="rId1" Type="http://schemas.openxmlformats.org/officeDocument/2006/relationships/hyperlink" Target="https://www.landbrugsinfo.dk/public/2/1/8/abonnement_om_landbrugsinf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5F429-479F-4E67-ACDE-453EF41284D0}">
  <dimension ref="B5:D12"/>
  <sheetViews>
    <sheetView tabSelected="1" workbookViewId="0">
      <selection activeCell="B14" sqref="B14"/>
    </sheetView>
  </sheetViews>
  <sheetFormatPr defaultColWidth="9.140625" defaultRowHeight="15" x14ac:dyDescent="0.25"/>
  <cols>
    <col min="1" max="1" width="15.5703125" style="100" customWidth="1"/>
    <col min="2" max="2" width="33.85546875" style="100" customWidth="1"/>
    <col min="3" max="3" width="62.28515625" style="100" customWidth="1"/>
    <col min="4" max="16384" width="9.140625" style="100"/>
  </cols>
  <sheetData>
    <row r="5" spans="2:4" x14ac:dyDescent="0.25">
      <c r="B5" s="103" t="s">
        <v>138</v>
      </c>
      <c r="C5" s="104" t="s">
        <v>139</v>
      </c>
    </row>
    <row r="6" spans="2:4" x14ac:dyDescent="0.25">
      <c r="B6" s="104"/>
      <c r="C6" s="104" t="s">
        <v>149</v>
      </c>
    </row>
    <row r="7" spans="2:4" x14ac:dyDescent="0.25">
      <c r="B7" s="104" t="s">
        <v>140</v>
      </c>
      <c r="C7" s="105">
        <v>44915</v>
      </c>
    </row>
    <row r="8" spans="2:4" x14ac:dyDescent="0.25">
      <c r="B8" s="104" t="s">
        <v>141</v>
      </c>
      <c r="C8" s="104" t="s">
        <v>150</v>
      </c>
    </row>
    <row r="9" spans="2:4" x14ac:dyDescent="0.25">
      <c r="B9" s="104" t="s">
        <v>142</v>
      </c>
      <c r="C9" s="104" t="s">
        <v>143</v>
      </c>
    </row>
    <row r="10" spans="2:4" x14ac:dyDescent="0.25">
      <c r="B10" s="104" t="s">
        <v>144</v>
      </c>
      <c r="C10" s="104" t="s">
        <v>145</v>
      </c>
    </row>
    <row r="11" spans="2:4" x14ac:dyDescent="0.25">
      <c r="B11" s="106" t="s">
        <v>146</v>
      </c>
      <c r="C11" s="107" t="s">
        <v>151</v>
      </c>
      <c r="D11" s="101"/>
    </row>
    <row r="12" spans="2:4" x14ac:dyDescent="0.25">
      <c r="B12" s="104" t="s">
        <v>147</v>
      </c>
      <c r="C12" s="108" t="s">
        <v>148</v>
      </c>
    </row>
  </sheetData>
  <hyperlinks>
    <hyperlink ref="C12" r:id="rId1" xr:uid="{2DC0694A-82B9-40D8-AFC2-75ABF6B440D4}"/>
    <hyperlink ref="C11" r:id="rId2" xr:uid="{57653E5E-F313-40E4-AE25-5522BDC2DB75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61"/>
  <sheetViews>
    <sheetView showGridLines="0" zoomScaleNormal="100" workbookViewId="0">
      <selection activeCell="A2" sqref="A2"/>
    </sheetView>
  </sheetViews>
  <sheetFormatPr defaultRowHeight="15" x14ac:dyDescent="0.25"/>
  <cols>
    <col min="1" max="1" width="35.5703125" bestFit="1" customWidth="1"/>
    <col min="2" max="2" width="16.5703125" bestFit="1" customWidth="1"/>
    <col min="3" max="6" width="17.5703125" bestFit="1" customWidth="1"/>
  </cols>
  <sheetData>
    <row r="2" spans="1:7" ht="18" x14ac:dyDescent="0.25">
      <c r="A2" s="102" t="s">
        <v>149</v>
      </c>
    </row>
    <row r="3" spans="1:7" ht="6.95" customHeight="1" x14ac:dyDescent="0.25"/>
    <row r="4" spans="1:7" s="75" customFormat="1" ht="24.95" customHeight="1" x14ac:dyDescent="0.35">
      <c r="A4" s="94" t="s">
        <v>133</v>
      </c>
      <c r="B4" s="109" t="s">
        <v>121</v>
      </c>
      <c r="C4" s="109"/>
      <c r="D4" s="109"/>
      <c r="E4" s="109"/>
      <c r="F4" s="109"/>
    </row>
    <row r="5" spans="1:7" ht="6.95" customHeight="1" x14ac:dyDescent="0.25"/>
    <row r="6" spans="1:7" ht="21" customHeight="1" x14ac:dyDescent="0.35">
      <c r="B6" s="98" t="s">
        <v>79</v>
      </c>
      <c r="C6" s="99" t="s">
        <v>80</v>
      </c>
      <c r="D6" s="99" t="s">
        <v>81</v>
      </c>
      <c r="E6" s="99" t="s">
        <v>82</v>
      </c>
      <c r="F6" s="99" t="s">
        <v>83</v>
      </c>
    </row>
    <row r="7" spans="1:7" ht="6.95" customHeight="1" x14ac:dyDescent="0.25">
      <c r="B7" s="1"/>
      <c r="C7" s="20"/>
      <c r="D7" s="20"/>
      <c r="E7" s="20"/>
      <c r="F7" s="20"/>
    </row>
    <row r="8" spans="1:7" ht="6.95" customHeight="1" x14ac:dyDescent="0.25">
      <c r="C8" s="21"/>
      <c r="D8" s="21"/>
      <c r="E8" s="21"/>
      <c r="F8" s="21"/>
    </row>
    <row r="9" spans="1:7" ht="15" customHeight="1" x14ac:dyDescent="0.25">
      <c r="B9" s="11"/>
      <c r="C9" s="22"/>
      <c r="D9" s="21"/>
      <c r="E9" s="21"/>
      <c r="F9" s="21"/>
    </row>
    <row r="10" spans="1:7" ht="15" customHeight="1" x14ac:dyDescent="0.25">
      <c r="A10" t="s">
        <v>67</v>
      </c>
      <c r="B10" s="76">
        <v>500</v>
      </c>
      <c r="C10" s="77">
        <v>500</v>
      </c>
      <c r="D10" s="77">
        <v>500</v>
      </c>
      <c r="E10" s="77">
        <v>500</v>
      </c>
      <c r="F10" s="77">
        <v>500</v>
      </c>
      <c r="G10" s="3"/>
    </row>
    <row r="11" spans="1:7" ht="15" customHeight="1" x14ac:dyDescent="0.25">
      <c r="A11" s="13" t="s">
        <v>72</v>
      </c>
      <c r="B11" s="76">
        <v>13000</v>
      </c>
      <c r="C11" s="77">
        <v>11000</v>
      </c>
      <c r="D11" s="77">
        <v>15000</v>
      </c>
      <c r="E11" s="77">
        <v>12500</v>
      </c>
      <c r="F11" s="77">
        <v>10000</v>
      </c>
      <c r="G11" s="3"/>
    </row>
    <row r="12" spans="1:7" ht="15" customHeight="1" x14ac:dyDescent="0.25">
      <c r="A12" t="s">
        <v>68</v>
      </c>
      <c r="B12" s="76">
        <f>500*14000</f>
        <v>7000000</v>
      </c>
      <c r="C12" s="77">
        <v>6500000</v>
      </c>
      <c r="D12" s="77"/>
      <c r="E12" s="77"/>
      <c r="F12" s="77"/>
      <c r="G12" s="3"/>
    </row>
    <row r="13" spans="1:7" ht="15" customHeight="1" x14ac:dyDescent="0.25">
      <c r="A13" t="s">
        <v>69</v>
      </c>
      <c r="B13" s="12">
        <f>IFERROR(B31/B12,"")</f>
        <v>0.9285714285714286</v>
      </c>
      <c r="C13" s="24">
        <f>IFERROR(C31/C12,"")</f>
        <v>0.84615384615384615</v>
      </c>
      <c r="D13" s="24" t="str">
        <f>IFERROR(D31/D12,"")</f>
        <v/>
      </c>
      <c r="E13" s="24" t="str">
        <f>IFERROR(E31/E12,"")</f>
        <v/>
      </c>
      <c r="F13" s="24" t="str">
        <f>IFERROR(F31/F12,"")</f>
        <v/>
      </c>
      <c r="G13" s="3"/>
    </row>
    <row r="14" spans="1:7" ht="15" customHeight="1" x14ac:dyDescent="0.25">
      <c r="B14" s="12"/>
      <c r="C14" s="24"/>
      <c r="D14" s="24"/>
      <c r="E14" s="24"/>
      <c r="F14" s="24"/>
      <c r="G14" s="3"/>
    </row>
    <row r="15" spans="1:7" ht="15" customHeight="1" x14ac:dyDescent="0.25">
      <c r="A15" t="s">
        <v>71</v>
      </c>
      <c r="B15" s="78"/>
      <c r="C15" s="79">
        <v>15000</v>
      </c>
      <c r="D15" s="79">
        <v>15000</v>
      </c>
      <c r="E15" s="79">
        <v>15000</v>
      </c>
      <c r="F15" s="79">
        <v>15000</v>
      </c>
      <c r="G15" s="3"/>
    </row>
    <row r="16" spans="1:7" ht="15" customHeight="1" x14ac:dyDescent="0.25">
      <c r="A16" t="s">
        <v>73</v>
      </c>
      <c r="B16" s="78">
        <v>1800</v>
      </c>
      <c r="C16" s="79">
        <v>2300</v>
      </c>
      <c r="D16" s="79">
        <v>2300</v>
      </c>
      <c r="E16" s="79">
        <v>2300</v>
      </c>
      <c r="F16" s="79">
        <v>2300</v>
      </c>
      <c r="G16" s="3"/>
    </row>
    <row r="17" spans="1:7" ht="15" customHeight="1" x14ac:dyDescent="0.25">
      <c r="B17" s="12"/>
      <c r="C17" s="24"/>
      <c r="D17" s="24"/>
      <c r="E17" s="24"/>
      <c r="F17" s="24"/>
      <c r="G17" s="3"/>
    </row>
    <row r="18" spans="1:7" ht="15" customHeight="1" x14ac:dyDescent="0.25">
      <c r="A18" t="s">
        <v>75</v>
      </c>
      <c r="B18" s="78"/>
      <c r="C18" s="79">
        <v>150000</v>
      </c>
      <c r="D18" s="79">
        <v>150000</v>
      </c>
      <c r="E18" s="79">
        <v>150000</v>
      </c>
      <c r="F18" s="79">
        <v>150000</v>
      </c>
      <c r="G18" s="3"/>
    </row>
    <row r="19" spans="1:7" ht="15" customHeight="1" x14ac:dyDescent="0.25">
      <c r="A19" t="s">
        <v>74</v>
      </c>
      <c r="B19" s="78">
        <v>47</v>
      </c>
      <c r="C19" s="79">
        <v>47</v>
      </c>
      <c r="D19" s="79">
        <v>47</v>
      </c>
      <c r="E19" s="79">
        <v>47</v>
      </c>
      <c r="F19" s="79">
        <v>47</v>
      </c>
      <c r="G19" s="3"/>
    </row>
    <row r="20" spans="1:7" ht="15" customHeight="1" x14ac:dyDescent="0.25">
      <c r="B20" s="12"/>
      <c r="C20" s="24"/>
      <c r="D20" s="24"/>
      <c r="E20" s="24"/>
      <c r="F20" s="24"/>
      <c r="G20" s="3"/>
    </row>
    <row r="21" spans="1:7" ht="15" customHeight="1" x14ac:dyDescent="0.25">
      <c r="A21" t="s">
        <v>77</v>
      </c>
      <c r="B21" s="78"/>
      <c r="C21" s="79">
        <v>75000</v>
      </c>
      <c r="D21" s="79">
        <v>75000</v>
      </c>
      <c r="E21" s="79">
        <v>75000</v>
      </c>
      <c r="F21" s="79">
        <v>75000</v>
      </c>
      <c r="G21" s="3"/>
    </row>
    <row r="22" spans="1:7" ht="15" customHeight="1" x14ac:dyDescent="0.25">
      <c r="A22" t="s">
        <v>76</v>
      </c>
      <c r="B22" s="78">
        <v>85</v>
      </c>
      <c r="C22" s="79">
        <v>85</v>
      </c>
      <c r="D22" s="79">
        <v>85</v>
      </c>
      <c r="E22" s="79">
        <v>85</v>
      </c>
      <c r="F22" s="79">
        <v>85</v>
      </c>
      <c r="G22" s="3"/>
    </row>
    <row r="23" spans="1:7" ht="15" customHeight="1" x14ac:dyDescent="0.25">
      <c r="B23" s="12"/>
      <c r="C23" s="24"/>
      <c r="D23" s="24"/>
      <c r="E23" s="24"/>
      <c r="F23" s="24"/>
      <c r="G23" s="3"/>
    </row>
    <row r="24" spans="1:7" ht="15" customHeight="1" x14ac:dyDescent="0.25">
      <c r="A24" t="s">
        <v>36</v>
      </c>
      <c r="B24" s="76">
        <v>700</v>
      </c>
      <c r="C24" s="77">
        <v>700</v>
      </c>
      <c r="D24" s="77">
        <v>700</v>
      </c>
      <c r="E24" s="77">
        <v>700</v>
      </c>
      <c r="F24" s="77">
        <v>700</v>
      </c>
      <c r="G24" s="3"/>
    </row>
    <row r="25" spans="1:7" ht="15" customHeight="1" x14ac:dyDescent="0.25">
      <c r="A25" t="s">
        <v>78</v>
      </c>
      <c r="B25" s="76">
        <v>1500</v>
      </c>
      <c r="C25" s="77">
        <v>1500</v>
      </c>
      <c r="D25" s="77">
        <v>1500</v>
      </c>
      <c r="E25" s="77">
        <v>1500</v>
      </c>
      <c r="F25" s="77">
        <v>1500</v>
      </c>
      <c r="G25" s="3"/>
    </row>
    <row r="26" spans="1:7" s="13" customFormat="1" ht="15" customHeight="1" x14ac:dyDescent="0.25">
      <c r="B26" s="9"/>
      <c r="C26" s="42"/>
      <c r="D26" s="42"/>
      <c r="E26" s="42"/>
      <c r="F26" s="42"/>
      <c r="G26" s="9"/>
    </row>
    <row r="27" spans="1:7" ht="15" customHeight="1" x14ac:dyDescent="0.25">
      <c r="A27" t="s">
        <v>124</v>
      </c>
      <c r="B27" s="88">
        <v>0.04</v>
      </c>
      <c r="C27" s="77"/>
      <c r="D27" s="77"/>
      <c r="E27" s="77"/>
      <c r="F27" s="77"/>
      <c r="G27" s="3"/>
    </row>
    <row r="28" spans="1:7" ht="15" customHeight="1" x14ac:dyDescent="0.25">
      <c r="A28" t="s">
        <v>125</v>
      </c>
      <c r="B28" s="88">
        <v>0.08</v>
      </c>
      <c r="C28" s="77"/>
      <c r="D28" s="77"/>
      <c r="E28" s="77"/>
      <c r="F28" s="77"/>
      <c r="G28" s="3"/>
    </row>
    <row r="29" spans="1:7" ht="19.5" customHeight="1" x14ac:dyDescent="0.35">
      <c r="A29" s="40" t="s">
        <v>0</v>
      </c>
      <c r="B29" s="3"/>
      <c r="C29" s="25"/>
      <c r="D29" s="25"/>
      <c r="E29" s="25"/>
      <c r="F29" s="25"/>
      <c r="G29" s="3"/>
    </row>
    <row r="30" spans="1:7" ht="15" customHeight="1" x14ac:dyDescent="0.25">
      <c r="B30" s="3"/>
      <c r="C30" s="25"/>
      <c r="D30" s="25"/>
      <c r="E30" s="25"/>
      <c r="F30" s="25"/>
      <c r="G30" s="3"/>
    </row>
    <row r="31" spans="1:7" ht="15" customHeight="1" x14ac:dyDescent="0.25">
      <c r="A31" t="s">
        <v>70</v>
      </c>
      <c r="B31" s="3">
        <f>B10*B11</f>
        <v>6500000</v>
      </c>
      <c r="C31" s="25">
        <f>C10*C11</f>
        <v>5500000</v>
      </c>
      <c r="D31" s="25">
        <f>D10*D11</f>
        <v>7500000</v>
      </c>
      <c r="E31" s="25">
        <f>E10*E11</f>
        <v>6250000</v>
      </c>
      <c r="F31" s="25">
        <f>F10*F11</f>
        <v>5000000</v>
      </c>
      <c r="G31" s="3"/>
    </row>
    <row r="32" spans="1:7" ht="15" customHeight="1" x14ac:dyDescent="0.25">
      <c r="A32" t="s">
        <v>84</v>
      </c>
      <c r="B32" s="3">
        <f>B15*B16</f>
        <v>0</v>
      </c>
      <c r="C32" s="25">
        <f t="shared" ref="C32:F32" si="0">C15*C16</f>
        <v>34500000</v>
      </c>
      <c r="D32" s="25">
        <f t="shared" si="0"/>
        <v>34500000</v>
      </c>
      <c r="E32" s="25">
        <f t="shared" si="0"/>
        <v>34500000</v>
      </c>
      <c r="F32" s="25">
        <f t="shared" si="0"/>
        <v>34500000</v>
      </c>
      <c r="G32" s="3"/>
    </row>
    <row r="33" spans="1:7" ht="15" customHeight="1" x14ac:dyDescent="0.25">
      <c r="A33" t="s">
        <v>85</v>
      </c>
      <c r="B33" s="3">
        <f>B18*B19</f>
        <v>0</v>
      </c>
      <c r="C33" s="25">
        <f t="shared" ref="C33:F33" si="1">C18*C19</f>
        <v>7050000</v>
      </c>
      <c r="D33" s="25">
        <f t="shared" si="1"/>
        <v>7050000</v>
      </c>
      <c r="E33" s="25">
        <f t="shared" si="1"/>
        <v>7050000</v>
      </c>
      <c r="F33" s="25">
        <f t="shared" si="1"/>
        <v>7050000</v>
      </c>
      <c r="G33" s="3"/>
    </row>
    <row r="34" spans="1:7" ht="15" customHeight="1" x14ac:dyDescent="0.25">
      <c r="A34" t="s">
        <v>64</v>
      </c>
      <c r="B34" s="3">
        <f>B21*B22</f>
        <v>0</v>
      </c>
      <c r="C34" s="25">
        <f t="shared" ref="C34:F34" si="2">C21*C22</f>
        <v>6375000</v>
      </c>
      <c r="D34" s="25">
        <f t="shared" si="2"/>
        <v>6375000</v>
      </c>
      <c r="E34" s="25">
        <f t="shared" si="2"/>
        <v>6375000</v>
      </c>
      <c r="F34" s="25">
        <f t="shared" si="2"/>
        <v>6375000</v>
      </c>
      <c r="G34" s="3"/>
    </row>
    <row r="35" spans="1:7" ht="15" customHeight="1" x14ac:dyDescent="0.25">
      <c r="A35" t="s">
        <v>31</v>
      </c>
      <c r="B35" s="3">
        <f>B24*B25</f>
        <v>1050000</v>
      </c>
      <c r="C35" s="25">
        <f t="shared" ref="C35:F35" si="3">C24*C25</f>
        <v>1050000</v>
      </c>
      <c r="D35" s="25">
        <f t="shared" si="3"/>
        <v>1050000</v>
      </c>
      <c r="E35" s="25">
        <f t="shared" si="3"/>
        <v>1050000</v>
      </c>
      <c r="F35" s="25">
        <f t="shared" si="3"/>
        <v>1050000</v>
      </c>
      <c r="G35" s="3"/>
    </row>
    <row r="36" spans="1:7" ht="15" customHeight="1" x14ac:dyDescent="0.25">
      <c r="A36" t="s">
        <v>32</v>
      </c>
      <c r="B36" s="76"/>
      <c r="C36" s="77"/>
      <c r="D36" s="77"/>
      <c r="E36" s="77"/>
      <c r="F36" s="77"/>
      <c r="G36" s="3"/>
    </row>
    <row r="37" spans="1:7" ht="15" customHeight="1" x14ac:dyDescent="0.25">
      <c r="A37" t="s">
        <v>87</v>
      </c>
      <c r="B37" s="76"/>
      <c r="C37" s="77"/>
      <c r="D37" s="77"/>
      <c r="E37" s="77"/>
      <c r="F37" s="77"/>
      <c r="G37" s="3"/>
    </row>
    <row r="38" spans="1:7" ht="15" customHeight="1" x14ac:dyDescent="0.25">
      <c r="A38" s="46" t="s">
        <v>123</v>
      </c>
      <c r="B38" s="76"/>
      <c r="C38" s="77"/>
      <c r="D38" s="77"/>
      <c r="E38" s="77"/>
      <c r="F38" s="77"/>
      <c r="G38" s="3"/>
    </row>
    <row r="39" spans="1:7" ht="15" customHeight="1" x14ac:dyDescent="0.25">
      <c r="A39" s="35" t="s">
        <v>65</v>
      </c>
      <c r="B39" s="80"/>
      <c r="C39" s="81"/>
      <c r="D39" s="81"/>
      <c r="E39" s="81"/>
      <c r="F39" s="81"/>
      <c r="G39" s="3"/>
    </row>
    <row r="40" spans="1:7" s="1" customFormat="1" ht="19.5" customHeight="1" x14ac:dyDescent="0.25">
      <c r="A40" s="16" t="s">
        <v>91</v>
      </c>
      <c r="B40" s="15">
        <f>SUM(B31:B39)</f>
        <v>7550000</v>
      </c>
      <c r="C40" s="26">
        <f t="shared" ref="C40:E40" si="4">SUM(C31:C39)</f>
        <v>54475000</v>
      </c>
      <c r="D40" s="26">
        <f t="shared" si="4"/>
        <v>56475000</v>
      </c>
      <c r="E40" s="26">
        <f t="shared" si="4"/>
        <v>55225000</v>
      </c>
      <c r="F40" s="26">
        <f t="shared" ref="F40" si="5">SUM(F31:F39)</f>
        <v>53975000</v>
      </c>
      <c r="G40" s="6"/>
    </row>
    <row r="41" spans="1:7" ht="15" customHeight="1" x14ac:dyDescent="0.25">
      <c r="B41" s="3"/>
      <c r="C41" s="25"/>
      <c r="D41" s="25"/>
      <c r="E41" s="25"/>
      <c r="F41" s="25"/>
      <c r="G41" s="3"/>
    </row>
    <row r="42" spans="1:7" ht="15" customHeight="1" x14ac:dyDescent="0.25">
      <c r="A42" t="s">
        <v>90</v>
      </c>
      <c r="B42" s="76">
        <v>-170000</v>
      </c>
      <c r="C42" s="77"/>
      <c r="D42" s="77"/>
      <c r="E42" s="77"/>
      <c r="F42" s="77"/>
      <c r="G42" s="3"/>
    </row>
    <row r="43" spans="1:7" ht="15" customHeight="1" x14ac:dyDescent="0.25">
      <c r="A43" t="s">
        <v>66</v>
      </c>
      <c r="B43" s="76">
        <v>-350000</v>
      </c>
      <c r="C43" s="77"/>
      <c r="D43" s="77"/>
      <c r="E43" s="77"/>
      <c r="F43" s="77"/>
      <c r="G43" s="3"/>
    </row>
    <row r="44" spans="1:7" ht="15" customHeight="1" x14ac:dyDescent="0.25">
      <c r="A44" t="s">
        <v>1</v>
      </c>
      <c r="B44" s="76">
        <v>-60000</v>
      </c>
      <c r="C44" s="77"/>
      <c r="D44" s="77"/>
      <c r="E44" s="77"/>
      <c r="F44" s="77"/>
      <c r="G44" s="3"/>
    </row>
    <row r="45" spans="1:7" ht="15" customHeight="1" x14ac:dyDescent="0.25">
      <c r="A45" t="s">
        <v>2</v>
      </c>
      <c r="B45" s="76">
        <v>-250000</v>
      </c>
      <c r="C45" s="77"/>
      <c r="D45" s="77"/>
      <c r="E45" s="77"/>
      <c r="F45" s="77"/>
      <c r="G45" s="3"/>
    </row>
    <row r="46" spans="1:7" ht="15" customHeight="1" x14ac:dyDescent="0.25">
      <c r="A46" t="s">
        <v>33</v>
      </c>
      <c r="B46" s="76">
        <v>-500000</v>
      </c>
      <c r="C46" s="77"/>
      <c r="D46" s="77"/>
      <c r="E46" s="77"/>
      <c r="F46" s="77"/>
      <c r="G46" s="3"/>
    </row>
    <row r="47" spans="1:7" ht="15" customHeight="1" x14ac:dyDescent="0.25">
      <c r="A47" t="s">
        <v>3</v>
      </c>
      <c r="B47" s="76">
        <v>-90000</v>
      </c>
      <c r="C47" s="77"/>
      <c r="D47" s="77"/>
      <c r="E47" s="77"/>
      <c r="F47" s="77"/>
      <c r="G47" s="3"/>
    </row>
    <row r="48" spans="1:7" ht="15" customHeight="1" x14ac:dyDescent="0.25">
      <c r="A48" s="35" t="s">
        <v>4</v>
      </c>
      <c r="B48" s="80">
        <v>-85000</v>
      </c>
      <c r="C48" s="81"/>
      <c r="D48" s="81"/>
      <c r="E48" s="81"/>
      <c r="F48" s="81"/>
      <c r="G48" s="3"/>
    </row>
    <row r="49" spans="1:7" s="1" customFormat="1" ht="15" customHeight="1" x14ac:dyDescent="0.25">
      <c r="A49" s="16" t="s">
        <v>5</v>
      </c>
      <c r="B49" s="15">
        <f>SUM(B42:B48)</f>
        <v>-1505000</v>
      </c>
      <c r="C49" s="15">
        <f t="shared" ref="C49:F49" si="6">SUM(C42:C48)</f>
        <v>0</v>
      </c>
      <c r="D49" s="15">
        <f t="shared" si="6"/>
        <v>0</v>
      </c>
      <c r="E49" s="15">
        <f t="shared" si="6"/>
        <v>0</v>
      </c>
      <c r="F49" s="15">
        <f t="shared" si="6"/>
        <v>0</v>
      </c>
      <c r="G49" s="6"/>
    </row>
    <row r="50" spans="1:7" ht="15" customHeight="1" x14ac:dyDescent="0.25">
      <c r="B50" s="3"/>
      <c r="C50" s="25"/>
      <c r="D50" s="25"/>
      <c r="E50" s="25"/>
      <c r="F50" s="25"/>
      <c r="G50" s="3"/>
    </row>
    <row r="51" spans="1:7" ht="15" customHeight="1" x14ac:dyDescent="0.25">
      <c r="A51" t="s">
        <v>44</v>
      </c>
      <c r="B51" s="9"/>
      <c r="C51" s="42"/>
      <c r="D51" s="42"/>
      <c r="E51" s="42"/>
      <c r="F51" s="42"/>
      <c r="G51" s="3"/>
    </row>
    <row r="52" spans="1:7" ht="15" customHeight="1" x14ac:dyDescent="0.25">
      <c r="A52" t="s">
        <v>92</v>
      </c>
      <c r="B52" s="76">
        <v>-1200000</v>
      </c>
      <c r="C52" s="77"/>
      <c r="D52" s="77"/>
      <c r="E52" s="77"/>
      <c r="F52" s="77"/>
      <c r="G52" s="3"/>
    </row>
    <row r="53" spans="1:7" ht="15" customHeight="1" x14ac:dyDescent="0.25">
      <c r="A53" t="s">
        <v>93</v>
      </c>
      <c r="B53" s="76">
        <v>-1600000</v>
      </c>
      <c r="C53" s="77"/>
      <c r="D53" s="77"/>
      <c r="E53" s="77"/>
      <c r="F53" s="77"/>
      <c r="G53" s="3"/>
    </row>
    <row r="54" spans="1:7" ht="15" customHeight="1" x14ac:dyDescent="0.25">
      <c r="A54" t="s">
        <v>94</v>
      </c>
      <c r="B54" s="76">
        <v>-80000</v>
      </c>
      <c r="C54" s="77"/>
      <c r="D54" s="77"/>
      <c r="E54" s="77"/>
      <c r="F54" s="77"/>
      <c r="G54" s="3"/>
    </row>
    <row r="55" spans="1:7" ht="15" customHeight="1" x14ac:dyDescent="0.25">
      <c r="B55" s="3"/>
      <c r="C55" s="25"/>
      <c r="D55" s="25"/>
      <c r="E55" s="25"/>
      <c r="F55" s="25"/>
      <c r="G55" s="3"/>
    </row>
    <row r="56" spans="1:7" s="1" customFormat="1" ht="15" customHeight="1" x14ac:dyDescent="0.25">
      <c r="A56" s="1" t="s">
        <v>6</v>
      </c>
      <c r="B56" s="6">
        <f>B49+SUM(B52:B54)</f>
        <v>-4385000</v>
      </c>
      <c r="C56" s="6">
        <f t="shared" ref="C56:F56" si="7">C49+SUM(C52:C54)</f>
        <v>0</v>
      </c>
      <c r="D56" s="6">
        <f t="shared" si="7"/>
        <v>0</v>
      </c>
      <c r="E56" s="6">
        <f t="shared" si="7"/>
        <v>0</v>
      </c>
      <c r="F56" s="6">
        <f t="shared" si="7"/>
        <v>0</v>
      </c>
      <c r="G56" s="6"/>
    </row>
    <row r="57" spans="1:7" ht="15" customHeight="1" x14ac:dyDescent="0.25">
      <c r="B57" s="3"/>
      <c r="C57" s="25"/>
      <c r="D57" s="25"/>
      <c r="E57" s="25"/>
      <c r="F57" s="25"/>
      <c r="G57" s="3"/>
    </row>
    <row r="58" spans="1:7" s="1" customFormat="1" ht="15" customHeight="1" x14ac:dyDescent="0.25">
      <c r="A58" s="43" t="s">
        <v>10</v>
      </c>
      <c r="B58" s="44">
        <f>B40+B56</f>
        <v>3165000</v>
      </c>
      <c r="C58" s="44">
        <f t="shared" ref="C58:F58" si="8">C40+C56</f>
        <v>54475000</v>
      </c>
      <c r="D58" s="44">
        <f t="shared" si="8"/>
        <v>56475000</v>
      </c>
      <c r="E58" s="44">
        <f t="shared" si="8"/>
        <v>55225000</v>
      </c>
      <c r="F58" s="44">
        <f t="shared" si="8"/>
        <v>53975000</v>
      </c>
      <c r="G58" s="6"/>
    </row>
    <row r="59" spans="1:7" ht="15" customHeight="1" x14ac:dyDescent="0.25">
      <c r="A59" t="s">
        <v>86</v>
      </c>
      <c r="B59" s="76">
        <v>250000</v>
      </c>
      <c r="C59" s="77"/>
      <c r="D59" s="77"/>
      <c r="E59" s="77"/>
      <c r="F59" s="77"/>
      <c r="G59" s="3"/>
    </row>
    <row r="60" spans="1:7" ht="15" customHeight="1" x14ac:dyDescent="0.25">
      <c r="A60" t="s">
        <v>7</v>
      </c>
      <c r="B60" s="76">
        <v>120000</v>
      </c>
      <c r="C60" s="77"/>
      <c r="D60" s="77"/>
      <c r="E60" s="77"/>
      <c r="F60" s="77"/>
      <c r="G60" s="3"/>
    </row>
    <row r="61" spans="1:7" ht="15" customHeight="1" x14ac:dyDescent="0.25">
      <c r="A61" t="s">
        <v>88</v>
      </c>
      <c r="B61" s="76"/>
      <c r="C61" s="77"/>
      <c r="D61" s="77"/>
      <c r="E61" s="77"/>
      <c r="F61" s="77"/>
      <c r="G61" s="3"/>
    </row>
    <row r="62" spans="1:7" ht="15" customHeight="1" x14ac:dyDescent="0.25">
      <c r="A62" t="s">
        <v>113</v>
      </c>
      <c r="B62" s="76"/>
      <c r="C62" s="77"/>
      <c r="D62" s="77"/>
      <c r="E62" s="77"/>
      <c r="F62" s="77"/>
      <c r="G62" s="3"/>
    </row>
    <row r="63" spans="1:7" ht="15" customHeight="1" x14ac:dyDescent="0.25">
      <c r="A63" s="35"/>
      <c r="B63" s="38"/>
      <c r="C63" s="39"/>
      <c r="D63" s="39"/>
      <c r="E63" s="39"/>
      <c r="F63" s="39"/>
      <c r="G63" s="3"/>
    </row>
    <row r="64" spans="1:7" s="1" customFormat="1" ht="15" customHeight="1" x14ac:dyDescent="0.25">
      <c r="A64" s="1" t="s">
        <v>8</v>
      </c>
      <c r="B64" s="6">
        <f>SUM(B58:B63)</f>
        <v>3535000</v>
      </c>
      <c r="C64" s="6">
        <f t="shared" ref="C64:F64" si="9">SUM(C58:C63)</f>
        <v>54475000</v>
      </c>
      <c r="D64" s="6">
        <f t="shared" si="9"/>
        <v>56475000</v>
      </c>
      <c r="E64" s="6">
        <f t="shared" si="9"/>
        <v>55225000</v>
      </c>
      <c r="F64" s="6">
        <f t="shared" si="9"/>
        <v>53975000</v>
      </c>
      <c r="G64" s="6"/>
    </row>
    <row r="65" spans="1:7" ht="15" customHeight="1" x14ac:dyDescent="0.25">
      <c r="B65" s="3"/>
      <c r="C65" s="25"/>
      <c r="D65" s="25"/>
      <c r="E65" s="25"/>
      <c r="F65" s="25"/>
      <c r="G65" s="3"/>
    </row>
    <row r="66" spans="1:7" ht="15" customHeight="1" x14ac:dyDescent="0.25">
      <c r="A66" t="s">
        <v>134</v>
      </c>
      <c r="B66" s="76">
        <v>100000</v>
      </c>
      <c r="C66" s="77"/>
      <c r="D66" s="77"/>
      <c r="E66" s="77"/>
      <c r="F66" s="77"/>
      <c r="G66" s="3"/>
    </row>
    <row r="67" spans="1:7" ht="15" customHeight="1" x14ac:dyDescent="0.25">
      <c r="A67" t="s">
        <v>135</v>
      </c>
      <c r="B67" s="76">
        <v>-375000</v>
      </c>
      <c r="C67" s="77"/>
      <c r="D67" s="77"/>
      <c r="E67" s="77"/>
      <c r="F67" s="77"/>
      <c r="G67" s="3"/>
    </row>
    <row r="68" spans="1:7" ht="15" customHeight="1" x14ac:dyDescent="0.25">
      <c r="A68" t="s">
        <v>136</v>
      </c>
      <c r="B68" s="76">
        <v>25000</v>
      </c>
      <c r="C68" s="77"/>
      <c r="D68" s="77"/>
      <c r="E68" s="77"/>
      <c r="F68" s="77"/>
      <c r="G68" s="3"/>
    </row>
    <row r="69" spans="1:7" ht="15" customHeight="1" x14ac:dyDescent="0.25">
      <c r="B69" s="3"/>
      <c r="C69" s="25"/>
      <c r="D69" s="25"/>
      <c r="E69" s="25"/>
      <c r="F69" s="25"/>
      <c r="G69" s="3"/>
    </row>
    <row r="70" spans="1:7" ht="15" customHeight="1" x14ac:dyDescent="0.25">
      <c r="A70" s="69" t="s">
        <v>95</v>
      </c>
      <c r="B70" s="76">
        <v>-150000</v>
      </c>
      <c r="C70" s="77"/>
      <c r="D70" s="77"/>
      <c r="E70" s="77"/>
      <c r="F70" s="77"/>
      <c r="G70" s="3"/>
    </row>
    <row r="71" spans="1:7" ht="15" customHeight="1" x14ac:dyDescent="0.25">
      <c r="A71" s="69" t="s">
        <v>55</v>
      </c>
      <c r="B71" s="89">
        <f>(B27*B131)*-1</f>
        <v>-1960000</v>
      </c>
      <c r="C71" s="25"/>
      <c r="D71" s="25"/>
      <c r="E71" s="25"/>
      <c r="F71" s="25"/>
      <c r="G71" s="3"/>
    </row>
    <row r="72" spans="1:7" ht="15" customHeight="1" x14ac:dyDescent="0.25">
      <c r="A72" s="69" t="s">
        <v>56</v>
      </c>
      <c r="B72" s="89">
        <f>(B28*B132)*-1</f>
        <v>-240000</v>
      </c>
      <c r="C72" s="25"/>
      <c r="D72" s="25"/>
      <c r="E72" s="25"/>
      <c r="F72" s="25"/>
      <c r="G72" s="3"/>
    </row>
    <row r="73" spans="1:7" ht="15" customHeight="1" x14ac:dyDescent="0.25">
      <c r="A73" s="69" t="s">
        <v>97</v>
      </c>
      <c r="B73" s="76">
        <v>-250000</v>
      </c>
      <c r="C73" s="77"/>
      <c r="D73" s="77"/>
      <c r="E73" s="77"/>
      <c r="F73" s="77"/>
      <c r="G73" s="3"/>
    </row>
    <row r="74" spans="1:7" ht="15" customHeight="1" x14ac:dyDescent="0.25">
      <c r="A74" s="69" t="s">
        <v>9</v>
      </c>
      <c r="B74" s="76">
        <v>-380000</v>
      </c>
      <c r="C74" s="77"/>
      <c r="D74" s="77"/>
      <c r="E74" s="77"/>
      <c r="F74" s="77"/>
      <c r="G74" s="3"/>
    </row>
    <row r="75" spans="1:7" ht="15" customHeight="1" x14ac:dyDescent="0.25">
      <c r="A75" s="45"/>
      <c r="B75" s="38"/>
      <c r="C75" s="39"/>
      <c r="D75" s="39"/>
      <c r="E75" s="39"/>
      <c r="F75" s="39"/>
      <c r="G75" s="3"/>
    </row>
    <row r="76" spans="1:7" s="1" customFormat="1" ht="15" customHeight="1" x14ac:dyDescent="0.25">
      <c r="A76" s="1" t="s">
        <v>120</v>
      </c>
      <c r="B76" s="6">
        <f>SUM(B66:B68)+SUM(B70:B75)</f>
        <v>-3230000</v>
      </c>
      <c r="C76" s="6">
        <f t="shared" ref="C76:F76" si="10">SUM(C66:C68)+SUM(C70:C75)</f>
        <v>0</v>
      </c>
      <c r="D76" s="6">
        <f t="shared" si="10"/>
        <v>0</v>
      </c>
      <c r="E76" s="6">
        <f t="shared" si="10"/>
        <v>0</v>
      </c>
      <c r="F76" s="6">
        <f t="shared" si="10"/>
        <v>0</v>
      </c>
      <c r="G76" s="6"/>
    </row>
    <row r="77" spans="1:7" ht="15" customHeight="1" x14ac:dyDescent="0.25">
      <c r="B77" s="3"/>
      <c r="C77" s="25"/>
      <c r="D77" s="25"/>
      <c r="E77" s="25"/>
      <c r="F77" s="25"/>
      <c r="G77" s="3"/>
    </row>
    <row r="78" spans="1:7" s="1" customFormat="1" ht="15" customHeight="1" x14ac:dyDescent="0.25">
      <c r="A78" s="1" t="s">
        <v>12</v>
      </c>
      <c r="B78" s="6">
        <f>B64+B76</f>
        <v>305000</v>
      </c>
      <c r="C78" s="6">
        <f t="shared" ref="C78:F78" si="11">C64+C76</f>
        <v>54475000</v>
      </c>
      <c r="D78" s="6">
        <f t="shared" si="11"/>
        <v>56475000</v>
      </c>
      <c r="E78" s="6">
        <f t="shared" si="11"/>
        <v>55225000</v>
      </c>
      <c r="F78" s="6">
        <f t="shared" si="11"/>
        <v>53975000</v>
      </c>
      <c r="G78" s="6"/>
    </row>
    <row r="79" spans="1:7" ht="15" customHeight="1" x14ac:dyDescent="0.25">
      <c r="B79" s="3"/>
      <c r="C79" s="25"/>
      <c r="D79" s="25"/>
      <c r="E79" s="25"/>
      <c r="F79" s="25"/>
      <c r="G79" s="3"/>
    </row>
    <row r="80" spans="1:7" ht="15" customHeight="1" x14ac:dyDescent="0.25">
      <c r="A80" s="46" t="s">
        <v>112</v>
      </c>
      <c r="B80" s="76">
        <v>55000</v>
      </c>
      <c r="C80" s="77"/>
      <c r="D80" s="77"/>
      <c r="E80" s="77"/>
      <c r="F80" s="77"/>
      <c r="G80" s="3"/>
    </row>
    <row r="81" spans="1:7" ht="15" customHeight="1" x14ac:dyDescent="0.25">
      <c r="A81" s="41"/>
      <c r="B81" s="3"/>
      <c r="C81" s="25"/>
      <c r="D81" s="25"/>
      <c r="E81" s="25"/>
      <c r="F81" s="25"/>
      <c r="G81" s="3"/>
    </row>
    <row r="82" spans="1:7" s="1" customFormat="1" ht="15" customHeight="1" x14ac:dyDescent="0.25">
      <c r="A82" s="1" t="s">
        <v>13</v>
      </c>
      <c r="B82" s="6">
        <f t="shared" ref="B82:F82" si="12">B78+B80</f>
        <v>360000</v>
      </c>
      <c r="C82" s="6">
        <f t="shared" si="12"/>
        <v>54475000</v>
      </c>
      <c r="D82" s="6">
        <f t="shared" si="12"/>
        <v>56475000</v>
      </c>
      <c r="E82" s="6">
        <f t="shared" si="12"/>
        <v>55225000</v>
      </c>
      <c r="F82" s="6">
        <f t="shared" si="12"/>
        <v>53975000</v>
      </c>
      <c r="G82" s="6"/>
    </row>
    <row r="83" spans="1:7" s="1" customFormat="1" ht="15" customHeight="1" x14ac:dyDescent="0.25">
      <c r="B83" s="6"/>
      <c r="C83" s="27"/>
      <c r="D83" s="27"/>
      <c r="E83" s="27"/>
      <c r="F83" s="27"/>
      <c r="G83" s="6"/>
    </row>
    <row r="84" spans="1:7" ht="24" customHeight="1" x14ac:dyDescent="0.35">
      <c r="A84" s="95" t="s">
        <v>14</v>
      </c>
      <c r="B84" s="96" t="str">
        <f>B6</f>
        <v>Scenarie 1</v>
      </c>
      <c r="C84" s="97" t="str">
        <f>C6</f>
        <v>Scenarie 2</v>
      </c>
      <c r="D84" s="97" t="str">
        <f>D6</f>
        <v>Scenarie 3</v>
      </c>
      <c r="E84" s="97" t="str">
        <f>E6</f>
        <v>Scenarie 4</v>
      </c>
      <c r="F84" s="97" t="str">
        <f>F6</f>
        <v>Scenarie 5</v>
      </c>
      <c r="G84" s="3"/>
    </row>
    <row r="85" spans="1:7" ht="15" customHeight="1" x14ac:dyDescent="0.25">
      <c r="B85" s="8" t="str">
        <f>IF(B7="","",B7)</f>
        <v/>
      </c>
      <c r="C85" s="30" t="str">
        <f>IF(C7="","",C7)</f>
        <v/>
      </c>
      <c r="D85" s="30" t="str">
        <f>IF(D7="","",D7)</f>
        <v/>
      </c>
      <c r="E85" s="30" t="str">
        <f>IF(E7="","",E7)</f>
        <v/>
      </c>
      <c r="F85" s="30" t="str">
        <f>IF(F7="","",F7)</f>
        <v/>
      </c>
      <c r="G85" s="3"/>
    </row>
    <row r="86" spans="1:7" s="1" customFormat="1" ht="15" customHeight="1" x14ac:dyDescent="0.25">
      <c r="A86" s="1" t="s">
        <v>13</v>
      </c>
      <c r="B86" s="6">
        <f>B82</f>
        <v>360000</v>
      </c>
      <c r="C86" s="6">
        <f>C82</f>
        <v>54475000</v>
      </c>
      <c r="D86" s="6">
        <f>D82</f>
        <v>56475000</v>
      </c>
      <c r="E86" s="6">
        <f>E82</f>
        <v>55225000</v>
      </c>
      <c r="F86" s="6">
        <f>F82</f>
        <v>53975000</v>
      </c>
      <c r="G86" s="6"/>
    </row>
    <row r="87" spans="1:7" ht="15" customHeight="1" x14ac:dyDescent="0.25">
      <c r="B87" s="3"/>
      <c r="C87" s="25"/>
      <c r="D87" s="25"/>
      <c r="E87" s="25"/>
      <c r="F87" s="25"/>
      <c r="G87" s="3"/>
    </row>
    <row r="88" spans="1:7" ht="15" customHeight="1" x14ac:dyDescent="0.25">
      <c r="A88" t="s">
        <v>15</v>
      </c>
      <c r="B88" s="3">
        <f>SUM(B52:B54)*-1</f>
        <v>2880000</v>
      </c>
      <c r="C88" s="3">
        <f t="shared" ref="C88:F88" si="13">SUM(C52:C54)*-1</f>
        <v>0</v>
      </c>
      <c r="D88" s="3">
        <f t="shared" si="13"/>
        <v>0</v>
      </c>
      <c r="E88" s="3">
        <f t="shared" si="13"/>
        <v>0</v>
      </c>
      <c r="F88" s="3">
        <f t="shared" si="13"/>
        <v>0</v>
      </c>
      <c r="G88" s="3"/>
    </row>
    <row r="89" spans="1:7" ht="15" customHeight="1" x14ac:dyDescent="0.25">
      <c r="B89" s="3"/>
      <c r="C89" s="3"/>
      <c r="D89" s="3"/>
      <c r="E89" s="3"/>
      <c r="F89" s="3"/>
      <c r="G89" s="3"/>
    </row>
    <row r="90" spans="1:7" s="1" customFormat="1" ht="15" customHeight="1" x14ac:dyDescent="0.25">
      <c r="A90" s="63" t="s">
        <v>16</v>
      </c>
      <c r="B90" s="6">
        <f>SUM(B88:B89)</f>
        <v>2880000</v>
      </c>
      <c r="C90" s="6">
        <f t="shared" ref="C90:F90" si="14">SUM(C88:C89)</f>
        <v>0</v>
      </c>
      <c r="D90" s="6">
        <f t="shared" si="14"/>
        <v>0</v>
      </c>
      <c r="E90" s="6">
        <f t="shared" si="14"/>
        <v>0</v>
      </c>
      <c r="F90" s="6">
        <f t="shared" si="14"/>
        <v>0</v>
      </c>
      <c r="G90" s="6"/>
    </row>
    <row r="91" spans="1:7" ht="15" customHeight="1" x14ac:dyDescent="0.25">
      <c r="B91" s="3"/>
      <c r="C91" s="25"/>
      <c r="D91" s="25"/>
      <c r="E91" s="25"/>
      <c r="F91" s="25"/>
      <c r="G91" s="3"/>
    </row>
    <row r="92" spans="1:7" ht="15" customHeight="1" x14ac:dyDescent="0.25">
      <c r="A92" t="s">
        <v>17</v>
      </c>
      <c r="B92" s="76">
        <v>-150000</v>
      </c>
      <c r="C92" s="77"/>
      <c r="D92" s="77"/>
      <c r="E92" s="77"/>
      <c r="F92" s="77"/>
      <c r="G92" s="3"/>
    </row>
    <row r="93" spans="1:7" ht="15" customHeight="1" x14ac:dyDescent="0.25">
      <c r="A93" t="s">
        <v>98</v>
      </c>
      <c r="B93" s="76">
        <v>-400000</v>
      </c>
      <c r="C93" s="77"/>
      <c r="D93" s="77"/>
      <c r="E93" s="77"/>
      <c r="F93" s="77"/>
      <c r="G93" s="3"/>
    </row>
    <row r="94" spans="1:7" ht="15" customHeight="1" x14ac:dyDescent="0.25">
      <c r="A94" t="s">
        <v>137</v>
      </c>
      <c r="B94" s="76">
        <v>4500</v>
      </c>
      <c r="C94" s="77"/>
      <c r="D94" s="77"/>
      <c r="E94" s="77"/>
      <c r="F94" s="77"/>
      <c r="G94" s="3"/>
    </row>
    <row r="95" spans="1:7" ht="15" customHeight="1" x14ac:dyDescent="0.25">
      <c r="A95" s="35" t="s">
        <v>42</v>
      </c>
      <c r="B95" s="80">
        <v>-100000</v>
      </c>
      <c r="C95" s="81"/>
      <c r="D95" s="81"/>
      <c r="E95" s="81"/>
      <c r="F95" s="81"/>
      <c r="G95" s="3"/>
    </row>
    <row r="96" spans="1:7" s="1" customFormat="1" ht="15" customHeight="1" x14ac:dyDescent="0.25">
      <c r="A96" s="1" t="s">
        <v>18</v>
      </c>
      <c r="B96" s="6">
        <f>SUM(B92:B95)</f>
        <v>-645500</v>
      </c>
      <c r="C96" s="6">
        <f t="shared" ref="C96:F96" si="15">SUM(C92:C95)</f>
        <v>0</v>
      </c>
      <c r="D96" s="6">
        <f t="shared" si="15"/>
        <v>0</v>
      </c>
      <c r="E96" s="6">
        <f t="shared" si="15"/>
        <v>0</v>
      </c>
      <c r="F96" s="6">
        <f t="shared" si="15"/>
        <v>0</v>
      </c>
      <c r="G96" s="6"/>
    </row>
    <row r="97" spans="1:7" s="1" customFormat="1" ht="15" customHeight="1" x14ac:dyDescent="0.25">
      <c r="B97" s="6"/>
      <c r="C97" s="27"/>
      <c r="D97" s="27"/>
      <c r="E97" s="27"/>
      <c r="F97" s="27"/>
      <c r="G97" s="6"/>
    </row>
    <row r="98" spans="1:7" s="1" customFormat="1" ht="15" customHeight="1" x14ac:dyDescent="0.3">
      <c r="A98" s="48" t="s">
        <v>63</v>
      </c>
      <c r="B98" s="44">
        <f>B86+B90-B96</f>
        <v>3885500</v>
      </c>
      <c r="C98" s="44">
        <f t="shared" ref="C98:F98" si="16">C86+C90-C96</f>
        <v>54475000</v>
      </c>
      <c r="D98" s="44">
        <f t="shared" si="16"/>
        <v>56475000</v>
      </c>
      <c r="E98" s="44">
        <f t="shared" si="16"/>
        <v>55225000</v>
      </c>
      <c r="F98" s="44">
        <f t="shared" si="16"/>
        <v>53975000</v>
      </c>
      <c r="G98" s="6"/>
    </row>
    <row r="99" spans="1:7" ht="15" customHeight="1" x14ac:dyDescent="0.25">
      <c r="B99" s="3"/>
      <c r="C99" s="25"/>
      <c r="D99" s="25"/>
      <c r="E99" s="25"/>
      <c r="F99" s="25"/>
      <c r="G99" s="3"/>
    </row>
    <row r="100" spans="1:7" ht="15" customHeight="1" x14ac:dyDescent="0.25">
      <c r="B100" s="3"/>
      <c r="C100" s="25"/>
      <c r="D100" s="25"/>
      <c r="E100" s="25"/>
      <c r="F100" s="25"/>
      <c r="G100" s="3"/>
    </row>
    <row r="101" spans="1:7" s="1" customFormat="1" ht="15" customHeight="1" x14ac:dyDescent="0.25">
      <c r="A101" s="1" t="s">
        <v>19</v>
      </c>
      <c r="B101" s="6">
        <f>B86+B90-B96</f>
        <v>3885500</v>
      </c>
      <c r="C101" s="6">
        <f t="shared" ref="C101:F101" si="17">C86+C90-C96</f>
        <v>54475000</v>
      </c>
      <c r="D101" s="6">
        <f t="shared" si="17"/>
        <v>56475000</v>
      </c>
      <c r="E101" s="6">
        <f t="shared" si="17"/>
        <v>55225000</v>
      </c>
      <c r="F101" s="6">
        <f t="shared" si="17"/>
        <v>53975000</v>
      </c>
      <c r="G101" s="6"/>
    </row>
    <row r="102" spans="1:7" s="1" customFormat="1" ht="15" customHeight="1" x14ac:dyDescent="0.25">
      <c r="B102" s="6"/>
      <c r="C102" s="6"/>
      <c r="D102" s="6"/>
      <c r="E102" s="6"/>
      <c r="F102" s="6"/>
      <c r="G102" s="6"/>
    </row>
    <row r="103" spans="1:7" s="1" customFormat="1" ht="15" customHeight="1" x14ac:dyDescent="0.25">
      <c r="A103" s="71" t="s">
        <v>107</v>
      </c>
      <c r="B103" s="72">
        <f>PMT(B27,30,B131)-B71</f>
        <v>-873674.85754940566</v>
      </c>
      <c r="C103" s="6"/>
      <c r="D103" s="6"/>
      <c r="E103" s="6"/>
      <c r="F103" s="6"/>
      <c r="G103" s="6"/>
    </row>
    <row r="104" spans="1:7" s="1" customFormat="1" ht="15" customHeight="1" x14ac:dyDescent="0.25">
      <c r="A104" s="71" t="s">
        <v>106</v>
      </c>
      <c r="B104" s="72">
        <f>PMT(B28,20,B132)-B72</f>
        <v>-65556.626469451876</v>
      </c>
      <c r="C104" s="6"/>
      <c r="D104" s="6"/>
      <c r="E104" s="6"/>
      <c r="F104" s="6"/>
      <c r="G104" s="6"/>
    </row>
    <row r="105" spans="1:7" s="1" customFormat="1" ht="15" customHeight="1" x14ac:dyDescent="0.25">
      <c r="A105" s="69" t="s">
        <v>27</v>
      </c>
      <c r="B105" s="82">
        <v>-800000</v>
      </c>
      <c r="C105" s="83"/>
      <c r="D105" s="83"/>
      <c r="E105" s="83"/>
      <c r="F105" s="83"/>
      <c r="G105" s="6"/>
    </row>
    <row r="106" spans="1:7" s="1" customFormat="1" ht="15" customHeight="1" x14ac:dyDescent="0.25">
      <c r="A106" s="69" t="s">
        <v>60</v>
      </c>
      <c r="B106" s="82">
        <v>-600000</v>
      </c>
      <c r="C106" s="83"/>
      <c r="D106" s="83"/>
      <c r="E106" s="83"/>
      <c r="F106" s="83"/>
      <c r="G106" s="6"/>
    </row>
    <row r="107" spans="1:7" s="1" customFormat="1" ht="15" customHeight="1" x14ac:dyDescent="0.25">
      <c r="A107" s="69" t="s">
        <v>28</v>
      </c>
      <c r="B107" s="82">
        <v>-600000</v>
      </c>
      <c r="C107" s="83"/>
      <c r="D107" s="83"/>
      <c r="E107" s="83"/>
      <c r="F107" s="83"/>
      <c r="G107" s="6"/>
    </row>
    <row r="108" spans="1:7" s="1" customFormat="1" ht="15" customHeight="1" x14ac:dyDescent="0.25">
      <c r="A108" s="70" t="s">
        <v>29</v>
      </c>
      <c r="B108" s="84">
        <v>-50000</v>
      </c>
      <c r="C108" s="85"/>
      <c r="D108" s="85"/>
      <c r="E108" s="85"/>
      <c r="F108" s="85"/>
      <c r="G108" s="6"/>
    </row>
    <row r="109" spans="1:7" s="1" customFormat="1" ht="15" customHeight="1" x14ac:dyDescent="0.25">
      <c r="A109" s="1" t="s">
        <v>108</v>
      </c>
      <c r="B109" s="6">
        <f>B101+SUM(B103:B108)</f>
        <v>896268.51598114241</v>
      </c>
      <c r="C109" s="6">
        <f t="shared" ref="C109:F109" si="18">C101+SUM(C103:C108)</f>
        <v>54475000</v>
      </c>
      <c r="D109" s="6">
        <f t="shared" si="18"/>
        <v>56475000</v>
      </c>
      <c r="E109" s="6">
        <f t="shared" si="18"/>
        <v>55225000</v>
      </c>
      <c r="F109" s="6">
        <f t="shared" si="18"/>
        <v>53975000</v>
      </c>
      <c r="G109" s="6"/>
    </row>
    <row r="110" spans="1:7" s="1" customFormat="1" ht="15" customHeight="1" x14ac:dyDescent="0.25">
      <c r="B110" s="6"/>
      <c r="C110" s="6"/>
      <c r="D110" s="6"/>
      <c r="E110" s="6"/>
      <c r="F110" s="6"/>
      <c r="G110" s="6"/>
    </row>
    <row r="111" spans="1:7" ht="21.75" customHeight="1" x14ac:dyDescent="0.35">
      <c r="A111" s="95" t="s">
        <v>96</v>
      </c>
      <c r="B111" s="3"/>
      <c r="C111" s="25"/>
      <c r="D111" s="25"/>
      <c r="E111" s="25"/>
      <c r="F111" s="25"/>
      <c r="G111" s="3"/>
    </row>
    <row r="112" spans="1:7" ht="15" customHeight="1" x14ac:dyDescent="0.25">
      <c r="A112" t="s">
        <v>119</v>
      </c>
      <c r="B112" s="76">
        <v>20000000</v>
      </c>
      <c r="C112" s="77"/>
      <c r="D112" s="77"/>
      <c r="E112" s="77"/>
      <c r="F112" s="77"/>
      <c r="G112" s="3"/>
    </row>
    <row r="113" spans="1:7" ht="15" customHeight="1" x14ac:dyDescent="0.25">
      <c r="A113" t="s">
        <v>117</v>
      </c>
      <c r="B113" s="76">
        <v>5000000</v>
      </c>
      <c r="C113" s="77"/>
      <c r="D113" s="77"/>
      <c r="E113" s="77"/>
      <c r="F113" s="77"/>
      <c r="G113" s="3"/>
    </row>
    <row r="114" spans="1:7" ht="15" customHeight="1" x14ac:dyDescent="0.25">
      <c r="A114" t="s">
        <v>118</v>
      </c>
      <c r="B114" s="76">
        <v>45000000</v>
      </c>
      <c r="C114" s="77"/>
      <c r="D114" s="77"/>
      <c r="E114" s="77"/>
      <c r="F114" s="77"/>
      <c r="G114" s="3"/>
    </row>
    <row r="115" spans="1:7" ht="15" customHeight="1" x14ac:dyDescent="0.25">
      <c r="A115" t="s">
        <v>58</v>
      </c>
      <c r="B115" s="76"/>
      <c r="C115" s="77"/>
      <c r="D115" s="77"/>
      <c r="E115" s="77"/>
      <c r="F115" s="77"/>
      <c r="G115" s="3"/>
    </row>
    <row r="116" spans="1:7" ht="15" customHeight="1" x14ac:dyDescent="0.25">
      <c r="A116" t="s">
        <v>61</v>
      </c>
      <c r="B116" s="76"/>
      <c r="C116" s="77"/>
      <c r="D116" s="77"/>
      <c r="E116" s="77"/>
      <c r="F116" s="77"/>
      <c r="G116" s="3"/>
    </row>
    <row r="117" spans="1:7" ht="15" customHeight="1" x14ac:dyDescent="0.25">
      <c r="A117" t="s">
        <v>34</v>
      </c>
      <c r="B117" s="76"/>
      <c r="C117" s="77"/>
      <c r="D117" s="77"/>
      <c r="E117" s="77"/>
      <c r="F117" s="77"/>
      <c r="G117" s="3"/>
    </row>
    <row r="118" spans="1:7" ht="15" customHeight="1" x14ac:dyDescent="0.25">
      <c r="A118" t="s">
        <v>103</v>
      </c>
      <c r="B118" s="76"/>
      <c r="C118" s="77"/>
      <c r="D118" s="77"/>
      <c r="E118" s="77"/>
      <c r="F118" s="77"/>
      <c r="G118" s="3"/>
    </row>
    <row r="119" spans="1:7" ht="15" customHeight="1" x14ac:dyDescent="0.25">
      <c r="A119" t="s">
        <v>104</v>
      </c>
      <c r="B119" s="76"/>
      <c r="C119" s="77"/>
      <c r="D119" s="77"/>
      <c r="E119" s="77"/>
      <c r="F119" s="77"/>
      <c r="G119" s="3"/>
    </row>
    <row r="120" spans="1:7" ht="15" customHeight="1" x14ac:dyDescent="0.25">
      <c r="A120" t="s">
        <v>99</v>
      </c>
      <c r="B120" s="76"/>
      <c r="C120" s="77"/>
      <c r="D120" s="77"/>
      <c r="E120" s="77"/>
      <c r="F120" s="77"/>
      <c r="G120" s="3"/>
    </row>
    <row r="121" spans="1:7" ht="15" customHeight="1" x14ac:dyDescent="0.25">
      <c r="A121" t="s">
        <v>102</v>
      </c>
      <c r="B121" s="76"/>
      <c r="C121" s="77"/>
      <c r="D121" s="77"/>
      <c r="E121" s="77"/>
      <c r="F121" s="77"/>
      <c r="G121" s="3"/>
    </row>
    <row r="122" spans="1:7" ht="15" customHeight="1" x14ac:dyDescent="0.25">
      <c r="A122" t="s">
        <v>20</v>
      </c>
      <c r="B122" s="76"/>
      <c r="C122" s="77"/>
      <c r="D122" s="77"/>
      <c r="E122" s="77"/>
      <c r="F122" s="77"/>
      <c r="G122" s="3"/>
    </row>
    <row r="123" spans="1:7" ht="15" customHeight="1" x14ac:dyDescent="0.25">
      <c r="A123" s="35" t="s">
        <v>57</v>
      </c>
      <c r="B123" s="80"/>
      <c r="C123" s="81"/>
      <c r="D123" s="81"/>
      <c r="E123" s="81"/>
      <c r="F123" s="81"/>
      <c r="G123" s="3"/>
    </row>
    <row r="124" spans="1:7" s="1" customFormat="1" ht="15" customHeight="1" x14ac:dyDescent="0.25">
      <c r="A124" s="1" t="s">
        <v>21</v>
      </c>
      <c r="B124" s="6">
        <f t="shared" ref="B124:E124" si="19">SUM(B112:B123)</f>
        <v>70000000</v>
      </c>
      <c r="C124" s="27">
        <f t="shared" si="19"/>
        <v>0</v>
      </c>
      <c r="D124" s="27">
        <f t="shared" si="19"/>
        <v>0</v>
      </c>
      <c r="E124" s="27">
        <f t="shared" si="19"/>
        <v>0</v>
      </c>
      <c r="F124" s="27">
        <f t="shared" ref="F124" si="20">SUM(F112:F123)</f>
        <v>0</v>
      </c>
      <c r="G124" s="6"/>
    </row>
    <row r="125" spans="1:7" ht="15" customHeight="1" x14ac:dyDescent="0.25">
      <c r="B125" s="3"/>
      <c r="C125" s="25"/>
      <c r="D125" s="25"/>
      <c r="E125" s="25"/>
      <c r="F125" s="25"/>
      <c r="G125" s="3"/>
    </row>
    <row r="126" spans="1:7" s="1" customFormat="1" ht="15" customHeight="1" x14ac:dyDescent="0.25">
      <c r="A126" s="1" t="s">
        <v>22</v>
      </c>
      <c r="B126" s="6">
        <f>B109-B124</f>
        <v>-69103731.484018862</v>
      </c>
      <c r="C126" s="6">
        <f t="shared" ref="C126:F126" si="21">C109-C124</f>
        <v>54475000</v>
      </c>
      <c r="D126" s="6">
        <f t="shared" si="21"/>
        <v>56475000</v>
      </c>
      <c r="E126" s="6">
        <f t="shared" si="21"/>
        <v>55225000</v>
      </c>
      <c r="F126" s="6">
        <f t="shared" si="21"/>
        <v>53975000</v>
      </c>
      <c r="G126" s="6"/>
    </row>
    <row r="127" spans="1:7" ht="15" customHeight="1" x14ac:dyDescent="0.25">
      <c r="B127" s="3"/>
      <c r="C127" s="25"/>
      <c r="D127" s="25"/>
      <c r="E127" s="25"/>
      <c r="F127" s="25"/>
      <c r="G127" s="3"/>
    </row>
    <row r="128" spans="1:7" ht="15" customHeight="1" x14ac:dyDescent="0.25">
      <c r="A128" t="s">
        <v>23</v>
      </c>
      <c r="B128" s="76"/>
      <c r="C128" s="77"/>
      <c r="D128" s="77"/>
      <c r="E128" s="77"/>
      <c r="F128" s="77"/>
      <c r="G128" s="3"/>
    </row>
    <row r="129" spans="1:8" ht="15" customHeight="1" x14ac:dyDescent="0.25">
      <c r="A129" t="s">
        <v>24</v>
      </c>
      <c r="B129" s="76"/>
      <c r="C129" s="77"/>
      <c r="D129" s="77"/>
      <c r="E129" s="77"/>
      <c r="F129" s="77"/>
      <c r="G129" s="3"/>
    </row>
    <row r="130" spans="1:8" ht="15" customHeight="1" x14ac:dyDescent="0.25">
      <c r="A130" t="s">
        <v>25</v>
      </c>
      <c r="B130" s="76"/>
      <c r="C130" s="77"/>
      <c r="D130" s="77"/>
      <c r="E130" s="77"/>
      <c r="F130" s="77"/>
      <c r="G130" s="3"/>
    </row>
    <row r="131" spans="1:8" ht="15" customHeight="1" x14ac:dyDescent="0.25">
      <c r="A131" s="46" t="s">
        <v>26</v>
      </c>
      <c r="B131" s="90">
        <v>49000000</v>
      </c>
      <c r="C131" s="77"/>
      <c r="D131" s="77"/>
      <c r="E131" s="77"/>
      <c r="F131" s="91"/>
      <c r="G131" s="3"/>
    </row>
    <row r="132" spans="1:8" ht="15" customHeight="1" x14ac:dyDescent="0.25">
      <c r="A132" s="46" t="s">
        <v>35</v>
      </c>
      <c r="B132" s="90">
        <v>3000000</v>
      </c>
      <c r="C132" s="77"/>
      <c r="D132" s="77"/>
      <c r="E132" s="77"/>
      <c r="F132" s="91"/>
      <c r="G132" s="3"/>
    </row>
    <row r="133" spans="1:8" ht="15" customHeight="1" x14ac:dyDescent="0.25">
      <c r="A133" t="s">
        <v>27</v>
      </c>
      <c r="B133" s="76">
        <v>500000</v>
      </c>
      <c r="C133" s="77"/>
      <c r="D133" s="77"/>
      <c r="E133" s="77"/>
      <c r="F133" s="77"/>
      <c r="G133" s="3"/>
    </row>
    <row r="134" spans="1:8" ht="15" customHeight="1" x14ac:dyDescent="0.25">
      <c r="A134" t="s">
        <v>62</v>
      </c>
      <c r="B134" s="76">
        <v>10000000</v>
      </c>
      <c r="C134" s="77"/>
      <c r="D134" s="77"/>
      <c r="E134" s="77"/>
      <c r="F134" s="77"/>
      <c r="G134" s="3"/>
    </row>
    <row r="135" spans="1:8" ht="15" customHeight="1" x14ac:dyDescent="0.25">
      <c r="A135" t="s">
        <v>60</v>
      </c>
      <c r="B135" s="76"/>
      <c r="C135" s="77"/>
      <c r="D135" s="77"/>
      <c r="E135" s="77"/>
      <c r="F135" s="77"/>
      <c r="G135" s="3"/>
    </row>
    <row r="136" spans="1:8" ht="15" customHeight="1" x14ac:dyDescent="0.25">
      <c r="A136" t="s">
        <v>28</v>
      </c>
      <c r="B136" s="76"/>
      <c r="C136" s="77"/>
      <c r="D136" s="77"/>
      <c r="E136" s="77"/>
      <c r="F136" s="77"/>
      <c r="G136" s="3"/>
    </row>
    <row r="137" spans="1:8" ht="15" customHeight="1" x14ac:dyDescent="0.25">
      <c r="A137" s="35" t="s">
        <v>29</v>
      </c>
      <c r="B137" s="38">
        <f>(SUM(B128:B136)*-1)-B126</f>
        <v>6603731.4840188622</v>
      </c>
      <c r="C137" s="38">
        <f t="shared" ref="C137:F137" si="22">-C128-C129-C130-C131-C132-C133-C134-C135-C136-C126</f>
        <v>-54475000</v>
      </c>
      <c r="D137" s="38">
        <f t="shared" si="22"/>
        <v>-56475000</v>
      </c>
      <c r="E137" s="38">
        <f t="shared" si="22"/>
        <v>-55225000</v>
      </c>
      <c r="F137" s="38">
        <f t="shared" si="22"/>
        <v>-53975000</v>
      </c>
      <c r="G137" s="3"/>
      <c r="H137" s="3"/>
    </row>
    <row r="138" spans="1:8" ht="15" customHeight="1" x14ac:dyDescent="0.25">
      <c r="B138" s="3"/>
      <c r="C138" s="25"/>
      <c r="D138" s="25"/>
      <c r="E138" s="25"/>
      <c r="F138" s="25"/>
      <c r="G138" s="3"/>
    </row>
    <row r="139" spans="1:8" s="1" customFormat="1" ht="15" customHeight="1" x14ac:dyDescent="0.25">
      <c r="A139" s="1" t="s">
        <v>30</v>
      </c>
      <c r="B139" s="6">
        <f t="shared" ref="B139" si="23">SUM(B128:B137)</f>
        <v>69103731.484018862</v>
      </c>
      <c r="C139" s="27">
        <f>SUM(C128:C137)</f>
        <v>-54475000</v>
      </c>
      <c r="D139" s="27">
        <f t="shared" ref="D139:E139" si="24">SUM(D128:D137)</f>
        <v>-56475000</v>
      </c>
      <c r="E139" s="27">
        <f t="shared" si="24"/>
        <v>-55225000</v>
      </c>
      <c r="F139" s="27">
        <f t="shared" ref="F139" si="25">SUM(F128:F137)</f>
        <v>-53975000</v>
      </c>
      <c r="G139" s="6"/>
    </row>
    <row r="140" spans="1:8" s="1" customFormat="1" ht="15" customHeight="1" x14ac:dyDescent="0.25">
      <c r="B140" s="6"/>
      <c r="C140" s="56"/>
      <c r="D140" s="56"/>
      <c r="E140" s="27"/>
      <c r="F140" s="27"/>
      <c r="G140" s="6"/>
    </row>
    <row r="141" spans="1:8" ht="15" customHeight="1" x14ac:dyDescent="0.25">
      <c r="B141" s="3"/>
      <c r="C141" s="93"/>
      <c r="D141" s="93"/>
      <c r="E141" s="25"/>
      <c r="F141" s="25"/>
    </row>
    <row r="142" spans="1:8" ht="24" customHeight="1" x14ac:dyDescent="0.35">
      <c r="A142" s="95" t="s">
        <v>109</v>
      </c>
      <c r="B142" s="95" t="s">
        <v>116</v>
      </c>
    </row>
    <row r="143" spans="1:8" ht="15" customHeight="1" x14ac:dyDescent="0.25">
      <c r="A143" t="str">
        <f>A40</f>
        <v>Dækningsbidrag i alt</v>
      </c>
      <c r="B143" s="86">
        <v>8</v>
      </c>
      <c r="C143" s="51"/>
    </row>
    <row r="144" spans="1:8" ht="15" customHeight="1" x14ac:dyDescent="0.25">
      <c r="A144" t="s">
        <v>129</v>
      </c>
      <c r="B144" s="92">
        <f>Følsomhedsberegning!B7-Indtastning!B40</f>
        <v>604000.00000000093</v>
      </c>
      <c r="C144" s="51"/>
    </row>
    <row r="145" spans="1:3" x14ac:dyDescent="0.25">
      <c r="A145" t="str">
        <f>A49</f>
        <v>Kontante kapacitetsomkostninger</v>
      </c>
      <c r="B145" s="86">
        <v>10</v>
      </c>
      <c r="C145" s="51"/>
    </row>
    <row r="146" spans="1:3" x14ac:dyDescent="0.25">
      <c r="A146" t="s">
        <v>130</v>
      </c>
      <c r="B146" s="92">
        <f>Følsomhedsberegning!B9-Indtastning!B49</f>
        <v>-150500.00000000023</v>
      </c>
      <c r="C146" s="51"/>
    </row>
    <row r="147" spans="1:3" x14ac:dyDescent="0.25">
      <c r="A147" t="str">
        <f>A51</f>
        <v xml:space="preserve">Afskrivninger </v>
      </c>
      <c r="B147" s="86">
        <v>2</v>
      </c>
      <c r="C147" s="51"/>
    </row>
    <row r="148" spans="1:3" x14ac:dyDescent="0.25">
      <c r="A148" t="s">
        <v>131</v>
      </c>
      <c r="B148" s="92">
        <f>Følsomhedsberegning!B11-SUM(Indtastning!B52:B54)</f>
        <v>-57600</v>
      </c>
      <c r="C148" s="51"/>
    </row>
    <row r="149" spans="1:3" x14ac:dyDescent="0.25">
      <c r="A149" t="str">
        <f>A59</f>
        <v>EU-støtte</v>
      </c>
      <c r="B149" s="86">
        <v>10</v>
      </c>
      <c r="C149" s="51"/>
    </row>
    <row r="150" spans="1:3" x14ac:dyDescent="0.25">
      <c r="A150" t="s">
        <v>132</v>
      </c>
      <c r="B150" s="92">
        <f>Følsomhedsberegning!B17-Indtastning!B59</f>
        <v>25000</v>
      </c>
      <c r="C150" s="51"/>
    </row>
    <row r="151" spans="1:3" x14ac:dyDescent="0.25">
      <c r="A151" t="str">
        <f>A61</f>
        <v>Andre indtægter uden for landbrug</v>
      </c>
      <c r="B151" s="86">
        <v>2</v>
      </c>
      <c r="C151" s="51"/>
    </row>
    <row r="152" spans="1:3" x14ac:dyDescent="0.25">
      <c r="A152" t="s">
        <v>126</v>
      </c>
      <c r="B152" s="92">
        <f>Følsomhedsberegning!B18-SUM(Indtastning!B60:B62)</f>
        <v>2400</v>
      </c>
      <c r="C152" s="51"/>
    </row>
    <row r="153" spans="1:3" x14ac:dyDescent="0.25">
      <c r="A153" t="s">
        <v>115</v>
      </c>
      <c r="B153" s="86">
        <v>-5</v>
      </c>
      <c r="C153" s="51"/>
    </row>
    <row r="154" spans="1:3" x14ac:dyDescent="0.25">
      <c r="A154" t="s">
        <v>127</v>
      </c>
      <c r="B154" s="92">
        <f>Følsomhedsberegning!B22-SUM(Indtastning!B66:B67)</f>
        <v>13750</v>
      </c>
      <c r="C154" s="51"/>
    </row>
    <row r="155" spans="1:3" x14ac:dyDescent="0.25">
      <c r="A155" t="str">
        <f>A70</f>
        <v>Renteudg. finansiel leasing/købekontakt</v>
      </c>
      <c r="B155" s="87">
        <v>-10</v>
      </c>
    </row>
    <row r="156" spans="1:3" x14ac:dyDescent="0.25">
      <c r="A156" t="s">
        <v>128</v>
      </c>
      <c r="B156" s="9">
        <f>Følsomhedsberegning!B24-SUM(Indtastning!B70:B75)</f>
        <v>298000</v>
      </c>
    </row>
    <row r="157" spans="1:3" x14ac:dyDescent="0.25">
      <c r="B157" s="13"/>
    </row>
    <row r="159" spans="1:3" x14ac:dyDescent="0.25">
      <c r="A159" t="str">
        <f>A58</f>
        <v>Resultat af primær drift</v>
      </c>
      <c r="B159" s="3">
        <f>Følsomhedsberegning!B15</f>
        <v>3560900.0000000009</v>
      </c>
    </row>
    <row r="160" spans="1:3" x14ac:dyDescent="0.25">
      <c r="A160" s="3" t="str">
        <f>A82</f>
        <v>Resultat før skat</v>
      </c>
      <c r="B160" s="3">
        <f>Følsomhedsberegning!B31</f>
        <v>1070050.0000000009</v>
      </c>
    </row>
    <row r="161" spans="1:2" x14ac:dyDescent="0.25">
      <c r="A161" t="str">
        <f>A109</f>
        <v>Likviditetesresultat</v>
      </c>
      <c r="B161" s="3">
        <f>Følsomhedsberegning!B47</f>
        <v>372918.51598114334</v>
      </c>
    </row>
  </sheetData>
  <mergeCells count="1">
    <mergeCell ref="B4:F4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&amp;CSide &amp;P af &amp;N</oddFooter>
  </headerFooter>
  <rowBreaks count="2" manualBreakCount="2">
    <brk id="65" max="16383" man="1"/>
    <brk id="12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4"/>
  <sheetViews>
    <sheetView showGridLines="0" zoomScaleNormal="100" workbookViewId="0">
      <selection activeCell="L17" sqref="L17"/>
    </sheetView>
  </sheetViews>
  <sheetFormatPr defaultRowHeight="15" x14ac:dyDescent="0.25"/>
  <cols>
    <col min="1" max="1" width="35.5703125" bestFit="1" customWidth="1"/>
    <col min="2" max="2" width="22" customWidth="1"/>
    <col min="3" max="6" width="13.7109375" customWidth="1"/>
  </cols>
  <sheetData>
    <row r="1" spans="1:7" ht="6.95" customHeight="1" x14ac:dyDescent="0.25"/>
    <row r="2" spans="1:7" ht="24.95" customHeight="1" x14ac:dyDescent="0.35">
      <c r="B2" s="110" t="s">
        <v>122</v>
      </c>
      <c r="C2" s="110"/>
      <c r="D2" s="110"/>
      <c r="E2" s="110"/>
      <c r="F2" s="110"/>
    </row>
    <row r="3" spans="1:7" ht="15" customHeight="1" x14ac:dyDescent="0.25">
      <c r="B3" s="2" t="s">
        <v>79</v>
      </c>
      <c r="C3" s="19" t="s">
        <v>80</v>
      </c>
      <c r="D3" s="19" t="s">
        <v>81</v>
      </c>
      <c r="E3" s="19" t="s">
        <v>82</v>
      </c>
      <c r="F3" s="19" t="s">
        <v>83</v>
      </c>
    </row>
    <row r="4" spans="1:7" ht="15" customHeight="1" x14ac:dyDescent="0.25">
      <c r="A4" s="102" t="s">
        <v>149</v>
      </c>
      <c r="B4" s="1"/>
      <c r="C4" s="20"/>
      <c r="D4" s="20"/>
      <c r="E4" s="20"/>
      <c r="F4" s="20"/>
    </row>
    <row r="5" spans="1:7" ht="15" customHeight="1" x14ac:dyDescent="0.25">
      <c r="C5" s="21"/>
      <c r="D5" s="21"/>
      <c r="E5" s="21"/>
      <c r="F5" s="21"/>
    </row>
    <row r="6" spans="1:7" ht="15" customHeight="1" x14ac:dyDescent="0.25">
      <c r="B6" s="11"/>
      <c r="C6" s="22"/>
      <c r="D6" s="21"/>
      <c r="E6" s="21"/>
      <c r="F6" s="21"/>
    </row>
    <row r="7" spans="1:7" s="1" customFormat="1" ht="19.5" customHeight="1" x14ac:dyDescent="0.25">
      <c r="A7" s="16" t="s">
        <v>91</v>
      </c>
      <c r="B7" s="15">
        <f>Indtastning!B40*(1+(Indtastning!B143/100))</f>
        <v>8154000.0000000009</v>
      </c>
      <c r="C7" s="15">
        <f>Indtastning!C40*(1+(Indtastning!C143/100))</f>
        <v>54475000</v>
      </c>
      <c r="D7" s="15">
        <f>Indtastning!D40*(1+(Indtastning!D143/100))</f>
        <v>56475000</v>
      </c>
      <c r="E7" s="15">
        <f>Indtastning!E40*(1+(Indtastning!E143/100))</f>
        <v>55225000</v>
      </c>
      <c r="F7" s="15">
        <f>Indtastning!F40*(1+(Indtastning!F143/100))</f>
        <v>53975000</v>
      </c>
      <c r="G7" s="6"/>
    </row>
    <row r="8" spans="1:7" ht="15" customHeight="1" x14ac:dyDescent="0.25">
      <c r="B8" s="3"/>
      <c r="C8" s="25"/>
      <c r="D8" s="25"/>
      <c r="E8" s="25"/>
      <c r="F8" s="25"/>
      <c r="G8" s="3"/>
    </row>
    <row r="9" spans="1:7" s="1" customFormat="1" ht="15" customHeight="1" x14ac:dyDescent="0.25">
      <c r="A9" s="16" t="s">
        <v>5</v>
      </c>
      <c r="B9" s="15">
        <f>Indtastning!B49*(1+(Indtastning!B145/100))</f>
        <v>-1655500.0000000002</v>
      </c>
      <c r="C9" s="15">
        <f>Indtastning!C49*(1+(Indtastning!C145/100))</f>
        <v>0</v>
      </c>
      <c r="D9" s="15">
        <f>Indtastning!D49*(1+(Indtastning!D145/100))</f>
        <v>0</v>
      </c>
      <c r="E9" s="15">
        <f>Indtastning!E49*(1+(Indtastning!E145/100))</f>
        <v>0</v>
      </c>
      <c r="F9" s="15">
        <f>Indtastning!F49*(1+(Indtastning!F145/100))</f>
        <v>0</v>
      </c>
      <c r="G9" s="6"/>
    </row>
    <row r="10" spans="1:7" ht="15" customHeight="1" x14ac:dyDescent="0.25">
      <c r="B10" s="3"/>
      <c r="C10" s="25"/>
      <c r="D10" s="25"/>
      <c r="E10" s="25"/>
      <c r="F10" s="25"/>
      <c r="G10" s="3"/>
    </row>
    <row r="11" spans="1:7" ht="15" customHeight="1" x14ac:dyDescent="0.25">
      <c r="A11" s="1" t="s">
        <v>44</v>
      </c>
      <c r="B11" s="53">
        <f>SUM(Indtastning!B52:B54)*(1+(Indtastning!B147/100))</f>
        <v>-2937600</v>
      </c>
      <c r="C11" s="53">
        <f>SUM(Indtastning!C52:C54)*(1+(Indtastning!C147/100))</f>
        <v>0</v>
      </c>
      <c r="D11" s="53">
        <f>SUM(Indtastning!D52:D54)*(1+(Indtastning!D147/100))</f>
        <v>0</v>
      </c>
      <c r="E11" s="53">
        <f>SUM(Indtastning!E52:E54)*(1+(Indtastning!E147/100))</f>
        <v>0</v>
      </c>
      <c r="F11" s="53">
        <f>SUM(Indtastning!F52:F54)*(1+(Indtastning!F147/100))</f>
        <v>0</v>
      </c>
      <c r="G11" s="3"/>
    </row>
    <row r="12" spans="1:7" ht="15" customHeight="1" x14ac:dyDescent="0.25">
      <c r="B12" s="3"/>
      <c r="C12" s="25"/>
      <c r="D12" s="25"/>
      <c r="E12" s="25"/>
      <c r="F12" s="25"/>
      <c r="G12" s="3"/>
    </row>
    <row r="13" spans="1:7" s="1" customFormat="1" ht="15" customHeight="1" x14ac:dyDescent="0.25">
      <c r="A13" s="57" t="s">
        <v>6</v>
      </c>
      <c r="B13" s="58">
        <f>B9+B11</f>
        <v>-4593100</v>
      </c>
      <c r="C13" s="61">
        <f>C9+C11</f>
        <v>0</v>
      </c>
      <c r="D13" s="61">
        <f>D9+D11</f>
        <v>0</v>
      </c>
      <c r="E13" s="61">
        <f>E9+E11</f>
        <v>0</v>
      </c>
      <c r="F13" s="61">
        <f>F9+F11</f>
        <v>0</v>
      </c>
      <c r="G13" s="6"/>
    </row>
    <row r="14" spans="1:7" ht="15" customHeight="1" x14ac:dyDescent="0.25">
      <c r="A14" s="4"/>
      <c r="B14" s="5"/>
      <c r="C14" s="28"/>
      <c r="D14" s="28"/>
      <c r="E14" s="28"/>
      <c r="F14" s="28"/>
      <c r="G14" s="3"/>
    </row>
    <row r="15" spans="1:7" s="1" customFormat="1" ht="15" customHeight="1" x14ac:dyDescent="0.25">
      <c r="A15" s="59" t="s">
        <v>10</v>
      </c>
      <c r="B15" s="60">
        <f>B7+B13</f>
        <v>3560900.0000000009</v>
      </c>
      <c r="C15" s="60">
        <f t="shared" ref="C15:F15" si="0">C7+C13</f>
        <v>54475000</v>
      </c>
      <c r="D15" s="60">
        <f t="shared" si="0"/>
        <v>56475000</v>
      </c>
      <c r="E15" s="60">
        <f t="shared" si="0"/>
        <v>55225000</v>
      </c>
      <c r="F15" s="60">
        <f t="shared" si="0"/>
        <v>53975000</v>
      </c>
      <c r="G15" s="6"/>
    </row>
    <row r="16" spans="1:7" s="1" customFormat="1" ht="15" customHeight="1" x14ac:dyDescent="0.25">
      <c r="A16" s="55"/>
      <c r="B16" s="56"/>
      <c r="C16" s="56"/>
      <c r="D16" s="56"/>
      <c r="E16" s="56"/>
      <c r="F16" s="56"/>
      <c r="G16" s="6"/>
    </row>
    <row r="17" spans="1:7" ht="15" customHeight="1" x14ac:dyDescent="0.25">
      <c r="A17" s="1" t="s">
        <v>86</v>
      </c>
      <c r="B17" s="6">
        <f>Indtastning!B59*(1+(Indtastning!B149/100))</f>
        <v>275000</v>
      </c>
      <c r="C17" s="6">
        <f>Indtastning!C59*(1+(Indtastning!C149/100))</f>
        <v>0</v>
      </c>
      <c r="D17" s="6">
        <f>Indtastning!D59*(1+(Indtastning!D149/100))</f>
        <v>0</v>
      </c>
      <c r="E17" s="6">
        <f>Indtastning!E59*(1+(Indtastning!E149/100))</f>
        <v>0</v>
      </c>
      <c r="F17" s="6">
        <f>Indtastning!F59*(1+(Indtastning!F149/100))</f>
        <v>0</v>
      </c>
      <c r="G17" s="3"/>
    </row>
    <row r="18" spans="1:7" ht="15" customHeight="1" x14ac:dyDescent="0.25">
      <c r="A18" s="1" t="s">
        <v>88</v>
      </c>
      <c r="B18" s="6">
        <f>SUM(Indtastning!B60:B62)*(1+(Indtastning!B151/100))</f>
        <v>122400</v>
      </c>
      <c r="C18" s="6">
        <f>SUM(Indtastning!C60:C62)*(1+(Indtastning!C151/100))</f>
        <v>0</v>
      </c>
      <c r="D18" s="6">
        <f>SUM(Indtastning!D60:D62)*(1+(Indtastning!D151/100))</f>
        <v>0</v>
      </c>
      <c r="E18" s="6">
        <f>SUM(Indtastning!E60:E62)*(1+(Indtastning!E151/100))</f>
        <v>0</v>
      </c>
      <c r="F18" s="6">
        <f>SUM(Indtastning!F60:F62)*(1+(Indtastning!F151/100))</f>
        <v>0</v>
      </c>
      <c r="G18" s="3"/>
    </row>
    <row r="19" spans="1:7" ht="15" customHeight="1" x14ac:dyDescent="0.25">
      <c r="A19" s="35"/>
      <c r="B19" s="38"/>
      <c r="C19" s="39"/>
      <c r="D19" s="39"/>
      <c r="E19" s="39"/>
      <c r="F19" s="39"/>
      <c r="G19" s="3"/>
    </row>
    <row r="20" spans="1:7" s="1" customFormat="1" ht="15" customHeight="1" x14ac:dyDescent="0.25">
      <c r="A20" s="57" t="s">
        <v>8</v>
      </c>
      <c r="B20" s="58">
        <f>B15+B17+B18</f>
        <v>3958300.0000000009</v>
      </c>
      <c r="C20" s="58">
        <f>SUM(C15:C19)</f>
        <v>54475000</v>
      </c>
      <c r="D20" s="58">
        <f>SUM(D15:D19)</f>
        <v>56475000</v>
      </c>
      <c r="E20" s="58">
        <f>SUM(E15:E19)</f>
        <v>55225000</v>
      </c>
      <c r="F20" s="58">
        <f>SUM(F15:F19)</f>
        <v>53975000</v>
      </c>
      <c r="G20" s="6"/>
    </row>
    <row r="21" spans="1:7" ht="15" customHeight="1" x14ac:dyDescent="0.25">
      <c r="B21" s="3"/>
      <c r="C21" s="25"/>
      <c r="D21" s="25"/>
      <c r="E21" s="25"/>
      <c r="F21" s="25"/>
      <c r="G21" s="3"/>
    </row>
    <row r="22" spans="1:7" ht="15" customHeight="1" x14ac:dyDescent="0.25">
      <c r="A22" s="1" t="s">
        <v>111</v>
      </c>
      <c r="B22" s="6">
        <f>SUM(Indtastning!B66:B67)*(1+(Indtastning!B153/100))</f>
        <v>-261250</v>
      </c>
      <c r="C22" s="6">
        <f>SUM(Indtastning!C66:C67)*(1+(Indtastning!C153/100))</f>
        <v>0</v>
      </c>
      <c r="D22" s="6">
        <f>SUM(Indtastning!D66:D67)*(1+(Indtastning!D153/100))</f>
        <v>0</v>
      </c>
      <c r="E22" s="6">
        <f>SUM(Indtastning!E66:E67)*(1+(Indtastning!E153/100))</f>
        <v>0</v>
      </c>
      <c r="F22" s="6">
        <f>SUM(Indtastning!F66:F67)*(1+(Indtastning!F153/100))</f>
        <v>0</v>
      </c>
      <c r="G22" s="3"/>
    </row>
    <row r="23" spans="1:7" ht="15" customHeight="1" x14ac:dyDescent="0.25">
      <c r="B23" s="3"/>
      <c r="C23" s="25"/>
      <c r="D23" s="25"/>
      <c r="E23" s="25"/>
      <c r="F23" s="25"/>
      <c r="G23" s="3"/>
    </row>
    <row r="24" spans="1:7" s="52" customFormat="1" ht="15" customHeight="1" x14ac:dyDescent="0.25">
      <c r="A24" s="73" t="s">
        <v>110</v>
      </c>
      <c r="B24" s="74">
        <f>SUM(Indtastning!B70:B75)*(1+(Indtastning!B155/100))</f>
        <v>-2682000</v>
      </c>
      <c r="C24" s="44">
        <f>SUM(Indtastning!C70:C75)*(1+(Indtastning!C155/100))</f>
        <v>0</v>
      </c>
      <c r="D24" s="44">
        <f>SUM(Indtastning!D70:D75)*(1+(Indtastning!D155/100))</f>
        <v>0</v>
      </c>
      <c r="E24" s="44">
        <f>SUM(Indtastning!E70:E75)*(1+(Indtastning!E155/100))</f>
        <v>0</v>
      </c>
      <c r="F24" s="44">
        <f>SUM(Indtastning!F70:F75)*(1+(Indtastning!F155/100))</f>
        <v>0</v>
      </c>
      <c r="G24" s="56"/>
    </row>
    <row r="25" spans="1:7" s="1" customFormat="1" ht="15" customHeight="1" x14ac:dyDescent="0.25">
      <c r="A25" s="57" t="s">
        <v>11</v>
      </c>
      <c r="B25" s="58">
        <f>B22+B24</f>
        <v>-2943250</v>
      </c>
      <c r="C25" s="58">
        <f>C22+C24</f>
        <v>0</v>
      </c>
      <c r="D25" s="58">
        <f>D22+D24</f>
        <v>0</v>
      </c>
      <c r="E25" s="58">
        <f>E22+E24</f>
        <v>0</v>
      </c>
      <c r="F25" s="58">
        <f>F22+F24</f>
        <v>0</v>
      </c>
      <c r="G25" s="6"/>
    </row>
    <row r="26" spans="1:7" ht="15" customHeight="1" x14ac:dyDescent="0.25">
      <c r="B26" s="3"/>
      <c r="C26" s="25"/>
      <c r="D26" s="25"/>
      <c r="E26" s="25"/>
      <c r="F26" s="25"/>
      <c r="G26" s="3"/>
    </row>
    <row r="27" spans="1:7" s="1" customFormat="1" ht="15" customHeight="1" x14ac:dyDescent="0.25">
      <c r="A27" s="67" t="s">
        <v>12</v>
      </c>
      <c r="B27" s="68">
        <f>B20+B25</f>
        <v>1015050.0000000009</v>
      </c>
      <c r="C27" s="68">
        <f t="shared" ref="C27:F27" si="1">C20+C25</f>
        <v>54475000</v>
      </c>
      <c r="D27" s="68">
        <f t="shared" si="1"/>
        <v>56475000</v>
      </c>
      <c r="E27" s="68">
        <f t="shared" si="1"/>
        <v>55225000</v>
      </c>
      <c r="F27" s="68">
        <f t="shared" si="1"/>
        <v>53975000</v>
      </c>
      <c r="G27" s="6"/>
    </row>
    <row r="28" spans="1:7" ht="15" customHeight="1" x14ac:dyDescent="0.25">
      <c r="B28" s="3"/>
      <c r="C28" s="25"/>
      <c r="D28" s="25"/>
      <c r="E28" s="25"/>
      <c r="F28" s="25"/>
      <c r="G28" s="3"/>
    </row>
    <row r="29" spans="1:7" ht="15" customHeight="1" x14ac:dyDescent="0.25">
      <c r="A29" s="46" t="s">
        <v>59</v>
      </c>
      <c r="B29" s="9">
        <f>Indtastning!B80</f>
        <v>55000</v>
      </c>
      <c r="C29" s="9">
        <f>Indtastning!C80</f>
        <v>0</v>
      </c>
      <c r="D29" s="9">
        <f>Indtastning!D80</f>
        <v>0</v>
      </c>
      <c r="E29" s="9">
        <f>Indtastning!E80</f>
        <v>0</v>
      </c>
      <c r="F29" s="9">
        <f>Indtastning!F80</f>
        <v>0</v>
      </c>
      <c r="G29" s="3"/>
    </row>
    <row r="30" spans="1:7" ht="15" customHeight="1" x14ac:dyDescent="0.25">
      <c r="A30" s="41"/>
      <c r="B30" s="9"/>
      <c r="C30" s="42"/>
      <c r="D30" s="42"/>
      <c r="E30" s="42"/>
      <c r="F30" s="42"/>
      <c r="G30" s="3"/>
    </row>
    <row r="31" spans="1:7" s="1" customFormat="1" ht="15" customHeight="1" x14ac:dyDescent="0.25">
      <c r="A31" s="64" t="s">
        <v>13</v>
      </c>
      <c r="B31" s="65">
        <f t="shared" ref="B31:F31" si="2">B27+B29</f>
        <v>1070050.0000000009</v>
      </c>
      <c r="C31" s="65">
        <f t="shared" si="2"/>
        <v>54475000</v>
      </c>
      <c r="D31" s="65">
        <f t="shared" si="2"/>
        <v>56475000</v>
      </c>
      <c r="E31" s="65">
        <f t="shared" si="2"/>
        <v>55225000</v>
      </c>
      <c r="F31" s="65">
        <f t="shared" si="2"/>
        <v>53975000</v>
      </c>
      <c r="G31" s="6"/>
    </row>
    <row r="32" spans="1:7" s="1" customFormat="1" ht="15" customHeight="1" x14ac:dyDescent="0.25">
      <c r="B32" s="53"/>
      <c r="C32" s="54"/>
      <c r="D32" s="54"/>
      <c r="E32" s="54"/>
      <c r="F32" s="54"/>
      <c r="G32" s="6"/>
    </row>
    <row r="33" spans="1:7" ht="24" customHeight="1" x14ac:dyDescent="0.35">
      <c r="A33" s="47" t="s">
        <v>14</v>
      </c>
      <c r="B33" s="7" t="str">
        <f>B3</f>
        <v>Scenarie 1</v>
      </c>
      <c r="C33" s="29" t="str">
        <f>C3</f>
        <v>Scenarie 2</v>
      </c>
      <c r="D33" s="29" t="str">
        <f>D3</f>
        <v>Scenarie 3</v>
      </c>
      <c r="E33" s="29" t="str">
        <f>E3</f>
        <v>Scenarie 4</v>
      </c>
      <c r="F33" s="29" t="str">
        <f>F3</f>
        <v>Scenarie 5</v>
      </c>
      <c r="G33" s="3"/>
    </row>
    <row r="34" spans="1:7" ht="15" customHeight="1" x14ac:dyDescent="0.25">
      <c r="B34" s="8" t="str">
        <f>IF(B4="","",B4)</f>
        <v/>
      </c>
      <c r="C34" s="30" t="str">
        <f>IF(C4="","",C4)</f>
        <v/>
      </c>
      <c r="D34" s="30" t="str">
        <f>IF(D4="","",D4)</f>
        <v/>
      </c>
      <c r="E34" s="30" t="str">
        <f>IF(E4="","",E4)</f>
        <v/>
      </c>
      <c r="F34" s="30" t="str">
        <f>IF(F4="","",F4)</f>
        <v/>
      </c>
      <c r="G34" s="3"/>
    </row>
    <row r="35" spans="1:7" ht="15" customHeight="1" x14ac:dyDescent="0.25">
      <c r="B35" s="6"/>
      <c r="C35" s="27"/>
      <c r="D35" s="25"/>
      <c r="E35" s="25"/>
      <c r="F35" s="25"/>
      <c r="G35" s="3"/>
    </row>
    <row r="36" spans="1:7" s="1" customFormat="1" ht="15" customHeight="1" x14ac:dyDescent="0.25">
      <c r="A36" s="66" t="s">
        <v>13</v>
      </c>
      <c r="B36" s="53">
        <f>B31</f>
        <v>1070050.0000000009</v>
      </c>
      <c r="C36" s="53">
        <f t="shared" ref="C36:F36" si="3">C31</f>
        <v>54475000</v>
      </c>
      <c r="D36" s="53">
        <f t="shared" si="3"/>
        <v>56475000</v>
      </c>
      <c r="E36" s="53">
        <f t="shared" si="3"/>
        <v>55225000</v>
      </c>
      <c r="F36" s="53">
        <f t="shared" si="3"/>
        <v>53975000</v>
      </c>
      <c r="G36" s="6"/>
    </row>
    <row r="37" spans="1:7" ht="15" customHeight="1" x14ac:dyDescent="0.25">
      <c r="B37" s="3"/>
      <c r="C37" s="25"/>
      <c r="D37" s="25"/>
      <c r="E37" s="25"/>
      <c r="F37" s="25"/>
      <c r="G37" s="3"/>
    </row>
    <row r="38" spans="1:7" ht="15" customHeight="1" x14ac:dyDescent="0.25">
      <c r="A38" t="s">
        <v>15</v>
      </c>
      <c r="B38" s="3">
        <f>B11*-1</f>
        <v>2937600</v>
      </c>
      <c r="C38" s="3">
        <f t="shared" ref="C38:F38" si="4">C11*-1</f>
        <v>0</v>
      </c>
      <c r="D38" s="3">
        <f t="shared" si="4"/>
        <v>0</v>
      </c>
      <c r="E38" s="3">
        <f t="shared" si="4"/>
        <v>0</v>
      </c>
      <c r="F38" s="3">
        <f t="shared" si="4"/>
        <v>0</v>
      </c>
      <c r="G38" s="3"/>
    </row>
    <row r="39" spans="1:7" ht="15" customHeight="1" x14ac:dyDescent="0.25">
      <c r="A39" s="35"/>
      <c r="B39" s="38"/>
      <c r="C39" s="38"/>
      <c r="D39" s="38"/>
      <c r="E39" s="38"/>
      <c r="F39" s="38"/>
      <c r="G39" s="3"/>
    </row>
    <row r="40" spans="1:7" s="1" customFormat="1" ht="15" customHeight="1" x14ac:dyDescent="0.25">
      <c r="A40" s="62" t="s">
        <v>16</v>
      </c>
      <c r="B40" s="58">
        <f>B38+B39</f>
        <v>2937600</v>
      </c>
      <c r="C40" s="58">
        <f t="shared" ref="C40:F40" si="5">C38+C39</f>
        <v>0</v>
      </c>
      <c r="D40" s="58">
        <f t="shared" si="5"/>
        <v>0</v>
      </c>
      <c r="E40" s="58">
        <f t="shared" si="5"/>
        <v>0</v>
      </c>
      <c r="F40" s="58">
        <f t="shared" si="5"/>
        <v>0</v>
      </c>
      <c r="G40" s="6"/>
    </row>
    <row r="41" spans="1:7" ht="15" customHeight="1" x14ac:dyDescent="0.25">
      <c r="B41" s="3"/>
      <c r="C41" s="25"/>
      <c r="D41" s="25"/>
      <c r="E41" s="25"/>
      <c r="F41" s="25"/>
      <c r="G41" s="3"/>
    </row>
    <row r="42" spans="1:7" s="1" customFormat="1" ht="15" customHeight="1" x14ac:dyDescent="0.25">
      <c r="A42" s="1" t="s">
        <v>18</v>
      </c>
      <c r="B42" s="6">
        <f>Indtastning!B96</f>
        <v>-645500</v>
      </c>
      <c r="C42" s="6">
        <f>Indtastning!C96</f>
        <v>0</v>
      </c>
      <c r="D42" s="6">
        <f>Indtastning!D96</f>
        <v>0</v>
      </c>
      <c r="E42" s="6">
        <f>Indtastning!E96</f>
        <v>0</v>
      </c>
      <c r="F42" s="6">
        <f>Indtastning!F96</f>
        <v>0</v>
      </c>
      <c r="G42" s="6"/>
    </row>
    <row r="43" spans="1:7" s="1" customFormat="1" ht="15" customHeight="1" x14ac:dyDescent="0.25">
      <c r="B43" s="6"/>
      <c r="C43" s="27"/>
      <c r="D43" s="27"/>
      <c r="E43" s="27"/>
      <c r="F43" s="27"/>
      <c r="G43" s="6"/>
    </row>
    <row r="44" spans="1:7" s="1" customFormat="1" ht="15" customHeight="1" x14ac:dyDescent="0.3">
      <c r="A44" s="48" t="s">
        <v>63</v>
      </c>
      <c r="B44" s="44">
        <f>B36+B40+B42</f>
        <v>3362150.0000000009</v>
      </c>
      <c r="C44" s="44">
        <f t="shared" ref="C44:F44" si="6">C36+C40+C42</f>
        <v>54475000</v>
      </c>
      <c r="D44" s="44">
        <f t="shared" si="6"/>
        <v>56475000</v>
      </c>
      <c r="E44" s="44">
        <f t="shared" si="6"/>
        <v>55225000</v>
      </c>
      <c r="F44" s="44">
        <f t="shared" si="6"/>
        <v>53975000</v>
      </c>
      <c r="G44" s="6"/>
    </row>
    <row r="45" spans="1:7" ht="15" customHeight="1" x14ac:dyDescent="0.25">
      <c r="B45" s="3"/>
      <c r="C45" s="25"/>
      <c r="D45" s="25"/>
      <c r="E45" s="25"/>
      <c r="F45" s="25"/>
      <c r="G45" s="3"/>
    </row>
    <row r="46" spans="1:7" s="1" customFormat="1" ht="15" customHeight="1" x14ac:dyDescent="0.25">
      <c r="A46" s="71" t="s">
        <v>114</v>
      </c>
      <c r="B46" s="6">
        <f>SUM(Indtastning!B103:B108)*(1+(Indtastning!B157/100))</f>
        <v>-2989231.4840188576</v>
      </c>
      <c r="C46" s="6">
        <f>SUM(Indtastning!C103:C108)*(1+(Indtastning!C157/100))</f>
        <v>0</v>
      </c>
      <c r="D46" s="6">
        <f>SUM(Indtastning!D103:D108)*(1+(Indtastning!D157/100))</f>
        <v>0</v>
      </c>
      <c r="E46" s="6">
        <f>SUM(Indtastning!E103:E108)*(1+(Indtastning!E157/100))</f>
        <v>0</v>
      </c>
      <c r="F46" s="6">
        <f>SUM(Indtastning!F103:F108)*(1+(Indtastning!F157/100))</f>
        <v>0</v>
      </c>
      <c r="G46" s="6"/>
    </row>
    <row r="47" spans="1:7" s="1" customFormat="1" ht="15" customHeight="1" x14ac:dyDescent="0.25">
      <c r="A47" s="64" t="s">
        <v>108</v>
      </c>
      <c r="B47" s="65">
        <f>B44+B46</f>
        <v>372918.51598114334</v>
      </c>
      <c r="C47" s="65">
        <f t="shared" ref="C47:F47" si="7">C44+C46</f>
        <v>54475000</v>
      </c>
      <c r="D47" s="65">
        <f t="shared" si="7"/>
        <v>56475000</v>
      </c>
      <c r="E47" s="65">
        <f t="shared" si="7"/>
        <v>55225000</v>
      </c>
      <c r="F47" s="65">
        <f t="shared" si="7"/>
        <v>53975000</v>
      </c>
      <c r="G47" s="6"/>
    </row>
    <row r="48" spans="1:7" s="1" customFormat="1" ht="15" customHeight="1" x14ac:dyDescent="0.25">
      <c r="B48" s="6"/>
      <c r="C48" s="6"/>
      <c r="D48" s="6"/>
      <c r="E48" s="6"/>
      <c r="F48" s="6"/>
      <c r="G48" s="6"/>
    </row>
    <row r="49" spans="1:7" s="1" customFormat="1" ht="15" customHeight="1" x14ac:dyDescent="0.25">
      <c r="B49" s="6"/>
      <c r="C49" s="27"/>
      <c r="D49" s="27"/>
      <c r="E49" s="27"/>
      <c r="F49" s="27"/>
      <c r="G49" s="6"/>
    </row>
    <row r="50" spans="1:7" ht="21.75" hidden="1" customHeight="1" x14ac:dyDescent="0.35">
      <c r="A50" s="49" t="s">
        <v>96</v>
      </c>
      <c r="B50" s="3"/>
      <c r="C50" s="25"/>
      <c r="D50" s="25"/>
      <c r="E50" s="25"/>
      <c r="F50" s="25"/>
      <c r="G50" s="3"/>
    </row>
    <row r="51" spans="1:7" ht="15" hidden="1" customHeight="1" x14ac:dyDescent="0.25">
      <c r="A51" t="s">
        <v>105</v>
      </c>
      <c r="B51" s="3"/>
      <c r="C51" s="25"/>
      <c r="D51" s="25"/>
      <c r="E51" s="25"/>
      <c r="F51" s="25"/>
      <c r="G51" s="3"/>
    </row>
    <row r="52" spans="1:7" ht="15" hidden="1" customHeight="1" x14ac:dyDescent="0.25">
      <c r="A52" t="s">
        <v>100</v>
      </c>
      <c r="B52" s="3"/>
      <c r="C52" s="25"/>
      <c r="D52" s="25"/>
      <c r="E52" s="25"/>
      <c r="F52" s="25"/>
      <c r="G52" s="3"/>
    </row>
    <row r="53" spans="1:7" ht="15" hidden="1" customHeight="1" x14ac:dyDescent="0.25">
      <c r="A53" t="s">
        <v>101</v>
      </c>
      <c r="B53" s="3"/>
      <c r="C53" s="25"/>
      <c r="D53" s="25"/>
      <c r="E53" s="25"/>
      <c r="F53" s="25"/>
      <c r="G53" s="3"/>
    </row>
    <row r="54" spans="1:7" ht="15" hidden="1" customHeight="1" x14ac:dyDescent="0.25">
      <c r="A54" t="s">
        <v>58</v>
      </c>
      <c r="B54" s="3"/>
      <c r="C54" s="25"/>
      <c r="D54" s="25"/>
      <c r="E54" s="25"/>
      <c r="F54" s="25"/>
      <c r="G54" s="3"/>
    </row>
    <row r="55" spans="1:7" ht="15" hidden="1" customHeight="1" x14ac:dyDescent="0.25">
      <c r="A55" t="s">
        <v>61</v>
      </c>
      <c r="B55" s="3"/>
      <c r="C55" s="25"/>
      <c r="D55" s="25"/>
      <c r="E55" s="25"/>
      <c r="F55" s="25"/>
      <c r="G55" s="3"/>
    </row>
    <row r="56" spans="1:7" ht="15" hidden="1" customHeight="1" x14ac:dyDescent="0.25">
      <c r="A56" t="s">
        <v>34</v>
      </c>
      <c r="B56" s="3"/>
      <c r="C56" s="25"/>
      <c r="D56" s="25"/>
      <c r="E56" s="25"/>
      <c r="F56" s="25"/>
      <c r="G56" s="3"/>
    </row>
    <row r="57" spans="1:7" ht="15" hidden="1" customHeight="1" x14ac:dyDescent="0.25">
      <c r="A57" t="s">
        <v>103</v>
      </c>
      <c r="B57" s="3"/>
      <c r="C57" s="25"/>
      <c r="D57" s="25"/>
      <c r="E57" s="25"/>
      <c r="F57" s="25"/>
      <c r="G57" s="3"/>
    </row>
    <row r="58" spans="1:7" ht="15" hidden="1" customHeight="1" x14ac:dyDescent="0.25">
      <c r="A58" t="s">
        <v>104</v>
      </c>
      <c r="B58" s="3"/>
      <c r="C58" s="25"/>
      <c r="D58" s="25"/>
      <c r="E58" s="25"/>
      <c r="F58" s="25"/>
      <c r="G58" s="3"/>
    </row>
    <row r="59" spans="1:7" ht="15" hidden="1" customHeight="1" x14ac:dyDescent="0.25">
      <c r="A59" t="s">
        <v>99</v>
      </c>
      <c r="B59" s="3"/>
      <c r="C59" s="25"/>
      <c r="D59" s="25"/>
      <c r="E59" s="25"/>
      <c r="F59" s="25"/>
      <c r="G59" s="3"/>
    </row>
    <row r="60" spans="1:7" ht="15" hidden="1" customHeight="1" x14ac:dyDescent="0.25">
      <c r="A60" t="s">
        <v>102</v>
      </c>
      <c r="B60" s="3"/>
      <c r="C60" s="25"/>
      <c r="D60" s="25"/>
      <c r="E60" s="25"/>
      <c r="F60" s="25"/>
      <c r="G60" s="3"/>
    </row>
    <row r="61" spans="1:7" ht="15" hidden="1" customHeight="1" x14ac:dyDescent="0.25">
      <c r="A61" t="s">
        <v>20</v>
      </c>
      <c r="B61" s="3"/>
      <c r="C61" s="25"/>
      <c r="D61" s="25"/>
      <c r="E61" s="25"/>
      <c r="F61" s="25"/>
      <c r="G61" s="3"/>
    </row>
    <row r="62" spans="1:7" ht="15" hidden="1" customHeight="1" x14ac:dyDescent="0.25">
      <c r="A62" s="35" t="s">
        <v>57</v>
      </c>
      <c r="B62" s="38"/>
      <c r="C62" s="39"/>
      <c r="D62" s="39"/>
      <c r="E62" s="39"/>
      <c r="F62" s="39"/>
      <c r="G62" s="3"/>
    </row>
    <row r="63" spans="1:7" s="1" customFormat="1" ht="15" hidden="1" customHeight="1" x14ac:dyDescent="0.25">
      <c r="A63" s="1" t="s">
        <v>21</v>
      </c>
      <c r="B63" s="6"/>
      <c r="C63" s="27"/>
      <c r="D63" s="27"/>
      <c r="E63" s="27"/>
      <c r="F63" s="27"/>
      <c r="G63" s="6"/>
    </row>
    <row r="64" spans="1:7" ht="15" hidden="1" customHeight="1" x14ac:dyDescent="0.25">
      <c r="B64" s="3"/>
      <c r="C64" s="25"/>
      <c r="D64" s="25"/>
      <c r="E64" s="25"/>
      <c r="F64" s="25"/>
      <c r="G64" s="3"/>
    </row>
    <row r="65" spans="1:7" s="1" customFormat="1" ht="15" hidden="1" customHeight="1" x14ac:dyDescent="0.25">
      <c r="A65" s="1" t="s">
        <v>22</v>
      </c>
      <c r="B65" s="6"/>
      <c r="C65" s="6"/>
      <c r="D65" s="6"/>
      <c r="E65" s="6"/>
      <c r="F65" s="6"/>
      <c r="G65" s="6"/>
    </row>
    <row r="66" spans="1:7" ht="15" hidden="1" customHeight="1" x14ac:dyDescent="0.25">
      <c r="B66" s="3"/>
      <c r="C66" s="25"/>
      <c r="D66" s="25"/>
      <c r="E66" s="25"/>
      <c r="F66" s="25"/>
      <c r="G66" s="3"/>
    </row>
    <row r="67" spans="1:7" ht="15" hidden="1" customHeight="1" x14ac:dyDescent="0.25">
      <c r="A67" t="s">
        <v>23</v>
      </c>
      <c r="B67" s="3"/>
      <c r="C67" s="25"/>
      <c r="D67" s="25"/>
      <c r="E67" s="25"/>
      <c r="F67" s="25"/>
      <c r="G67" s="3"/>
    </row>
    <row r="68" spans="1:7" ht="15" hidden="1" customHeight="1" x14ac:dyDescent="0.25">
      <c r="A68" t="s">
        <v>24</v>
      </c>
      <c r="B68" s="3"/>
      <c r="C68" s="25"/>
      <c r="D68" s="25"/>
      <c r="E68" s="25"/>
      <c r="F68" s="25"/>
      <c r="G68" s="3"/>
    </row>
    <row r="69" spans="1:7" ht="15" hidden="1" customHeight="1" x14ac:dyDescent="0.25">
      <c r="A69" t="s">
        <v>25</v>
      </c>
      <c r="B69" s="3"/>
      <c r="C69" s="25"/>
      <c r="D69" s="25"/>
      <c r="E69" s="25"/>
      <c r="F69" s="25"/>
      <c r="G69" s="3"/>
    </row>
    <row r="70" spans="1:7" ht="15" hidden="1" customHeight="1" x14ac:dyDescent="0.25">
      <c r="A70" t="s">
        <v>26</v>
      </c>
      <c r="B70" s="3"/>
      <c r="C70" s="25"/>
      <c r="D70" s="25"/>
      <c r="E70" s="25"/>
      <c r="F70" s="34"/>
      <c r="G70" s="3"/>
    </row>
    <row r="71" spans="1:7" ht="15" hidden="1" customHeight="1" x14ac:dyDescent="0.25">
      <c r="A71" t="s">
        <v>35</v>
      </c>
      <c r="B71" s="3"/>
      <c r="C71" s="25"/>
      <c r="D71" s="25"/>
      <c r="E71" s="25"/>
      <c r="F71" s="34"/>
      <c r="G71" s="3"/>
    </row>
    <row r="72" spans="1:7" ht="15" hidden="1" customHeight="1" x14ac:dyDescent="0.25">
      <c r="A72" t="s">
        <v>27</v>
      </c>
      <c r="B72" s="3"/>
      <c r="C72" s="25"/>
      <c r="D72" s="25"/>
      <c r="E72" s="25"/>
      <c r="F72" s="25"/>
      <c r="G72" s="3"/>
    </row>
    <row r="73" spans="1:7" ht="15" hidden="1" customHeight="1" x14ac:dyDescent="0.25">
      <c r="A73" t="s">
        <v>62</v>
      </c>
      <c r="B73" s="3"/>
      <c r="C73" s="25"/>
      <c r="D73" s="25"/>
      <c r="E73" s="25"/>
      <c r="F73" s="25"/>
      <c r="G73" s="3"/>
    </row>
    <row r="74" spans="1:7" ht="15" hidden="1" customHeight="1" x14ac:dyDescent="0.25">
      <c r="A74" t="s">
        <v>60</v>
      </c>
      <c r="B74" s="3"/>
      <c r="C74" s="25"/>
      <c r="D74" s="25"/>
      <c r="E74" s="25"/>
      <c r="F74" s="25"/>
      <c r="G74" s="3"/>
    </row>
    <row r="75" spans="1:7" ht="15" hidden="1" customHeight="1" x14ac:dyDescent="0.25">
      <c r="A75" t="s">
        <v>28</v>
      </c>
      <c r="B75" s="3"/>
      <c r="C75" s="25"/>
      <c r="D75" s="25"/>
      <c r="E75" s="25"/>
      <c r="F75" s="25"/>
      <c r="G75" s="3"/>
    </row>
    <row r="76" spans="1:7" ht="15" hidden="1" customHeight="1" x14ac:dyDescent="0.25">
      <c r="A76" s="35" t="s">
        <v>29</v>
      </c>
      <c r="B76" s="38"/>
      <c r="C76" s="38"/>
      <c r="D76" s="38"/>
      <c r="E76" s="38"/>
      <c r="F76" s="38"/>
      <c r="G76" s="3"/>
    </row>
    <row r="77" spans="1:7" ht="15" hidden="1" customHeight="1" x14ac:dyDescent="0.25">
      <c r="B77" s="3"/>
      <c r="C77" s="25"/>
      <c r="D77" s="25"/>
      <c r="E77" s="25"/>
      <c r="F77" s="25"/>
      <c r="G77" s="3"/>
    </row>
    <row r="78" spans="1:7" s="1" customFormat="1" ht="15" hidden="1" customHeight="1" x14ac:dyDescent="0.25">
      <c r="A78" s="1" t="s">
        <v>30</v>
      </c>
      <c r="B78" s="6"/>
      <c r="C78" s="27"/>
      <c r="D78" s="27"/>
      <c r="E78" s="27"/>
      <c r="F78" s="27"/>
      <c r="G78" s="6"/>
    </row>
    <row r="79" spans="1:7" s="1" customFormat="1" ht="15" hidden="1" customHeight="1" x14ac:dyDescent="0.25">
      <c r="B79" s="6"/>
      <c r="C79" s="27"/>
      <c r="D79" s="27"/>
      <c r="E79" s="27"/>
      <c r="F79" s="27"/>
      <c r="G79" s="6"/>
    </row>
    <row r="80" spans="1:7" s="1" customFormat="1" ht="15" hidden="1" customHeight="1" x14ac:dyDescent="0.25">
      <c r="B80" s="6"/>
      <c r="C80" s="27"/>
      <c r="D80" s="27"/>
      <c r="E80" s="27"/>
      <c r="F80" s="27"/>
      <c r="G80" s="6"/>
    </row>
    <row r="81" spans="1:6" ht="15" hidden="1" customHeight="1" x14ac:dyDescent="0.3">
      <c r="A81" s="50" t="s">
        <v>53</v>
      </c>
      <c r="C81" s="21"/>
      <c r="D81" s="21"/>
      <c r="E81" s="21"/>
      <c r="F81" s="21"/>
    </row>
    <row r="82" spans="1:6" ht="15" hidden="1" customHeight="1" x14ac:dyDescent="0.25">
      <c r="A82" s="1" t="s">
        <v>43</v>
      </c>
      <c r="B82" s="14">
        <v>58000000</v>
      </c>
      <c r="C82" s="25" t="e">
        <f t="shared" ref="C82:F82" si="8">B89</f>
        <v>#REF!</v>
      </c>
      <c r="D82" s="25" t="e">
        <f t="shared" si="8"/>
        <v>#REF!</v>
      </c>
      <c r="E82" s="25" t="e">
        <f t="shared" si="8"/>
        <v>#REF!</v>
      </c>
      <c r="F82" s="25" t="e">
        <f t="shared" si="8"/>
        <v>#REF!</v>
      </c>
    </row>
    <row r="83" spans="1:6" ht="15" hidden="1" customHeight="1" x14ac:dyDescent="0.25">
      <c r="B83" s="3"/>
      <c r="C83" s="25"/>
      <c r="D83" s="25"/>
      <c r="E83" s="25"/>
      <c r="F83" s="25"/>
    </row>
    <row r="84" spans="1:6" ht="15" hidden="1" customHeight="1" x14ac:dyDescent="0.25">
      <c r="A84" t="s">
        <v>44</v>
      </c>
      <c r="B84" s="3" t="e">
        <f>SUM(#REF!)</f>
        <v>#REF!</v>
      </c>
      <c r="C84" s="3" t="e">
        <f>SUM(#REF!)</f>
        <v>#REF!</v>
      </c>
      <c r="D84" s="3" t="e">
        <f>SUM(#REF!)</f>
        <v>#REF!</v>
      </c>
      <c r="E84" s="3" t="e">
        <f>SUM(#REF!)</f>
        <v>#REF!</v>
      </c>
      <c r="F84" s="3" t="e">
        <f>SUM(#REF!)</f>
        <v>#REF!</v>
      </c>
    </row>
    <row r="85" spans="1:6" ht="15" hidden="1" customHeight="1" x14ac:dyDescent="0.25">
      <c r="A85" s="41" t="s">
        <v>89</v>
      </c>
      <c r="B85" s="14"/>
      <c r="C85" s="25">
        <f>B85</f>
        <v>0</v>
      </c>
      <c r="D85" s="25">
        <f t="shared" ref="D85:F85" si="9">C85</f>
        <v>0</v>
      </c>
      <c r="E85" s="25">
        <f t="shared" si="9"/>
        <v>0</v>
      </c>
      <c r="F85" s="25">
        <f t="shared" si="9"/>
        <v>0</v>
      </c>
    </row>
    <row r="86" spans="1:6" ht="15" hidden="1" customHeight="1" x14ac:dyDescent="0.25">
      <c r="B86" s="3"/>
      <c r="C86" s="25"/>
      <c r="D86" s="25"/>
      <c r="E86" s="25"/>
      <c r="F86" s="25"/>
    </row>
    <row r="87" spans="1:6" ht="15" hidden="1" customHeight="1" x14ac:dyDescent="0.25">
      <c r="B87" s="3"/>
      <c r="C87" s="25"/>
      <c r="D87" s="25"/>
      <c r="E87" s="25"/>
      <c r="F87" s="25"/>
    </row>
    <row r="88" spans="1:6" ht="15" hidden="1" customHeight="1" x14ac:dyDescent="0.25">
      <c r="A88" s="35" t="s">
        <v>45</v>
      </c>
      <c r="B88" s="38" t="e">
        <f>-B63-#REF!</f>
        <v>#REF!</v>
      </c>
      <c r="C88" s="39" t="e">
        <f>-C63-#REF!</f>
        <v>#REF!</v>
      </c>
      <c r="D88" s="39" t="e">
        <f>-D63-#REF!</f>
        <v>#REF!</v>
      </c>
      <c r="E88" s="39" t="e">
        <f>-E63-#REF!</f>
        <v>#REF!</v>
      </c>
      <c r="F88" s="39" t="e">
        <f>-F63-#REF!</f>
        <v>#REF!</v>
      </c>
    </row>
    <row r="89" spans="1:6" s="1" customFormat="1" ht="15" hidden="1" customHeight="1" x14ac:dyDescent="0.25">
      <c r="A89" s="1" t="s">
        <v>46</v>
      </c>
      <c r="B89" s="6" t="e">
        <f>SUM(B82:B88)</f>
        <v>#REF!</v>
      </c>
      <c r="C89" s="27" t="e">
        <f t="shared" ref="C89:F89" si="10">SUM(C82:C88)</f>
        <v>#REF!</v>
      </c>
      <c r="D89" s="27" t="e">
        <f t="shared" si="10"/>
        <v>#REF!</v>
      </c>
      <c r="E89" s="27" t="e">
        <f t="shared" si="10"/>
        <v>#REF!</v>
      </c>
      <c r="F89" s="27" t="e">
        <f t="shared" si="10"/>
        <v>#REF!</v>
      </c>
    </row>
    <row r="90" spans="1:6" ht="15" hidden="1" customHeight="1" x14ac:dyDescent="0.25">
      <c r="B90" s="3"/>
      <c r="C90" s="25"/>
      <c r="D90" s="25"/>
      <c r="E90" s="25"/>
      <c r="F90" s="25"/>
    </row>
    <row r="91" spans="1:6" ht="15" hidden="1" customHeight="1" x14ac:dyDescent="0.25">
      <c r="A91" t="s">
        <v>47</v>
      </c>
      <c r="B91" s="14"/>
      <c r="C91" s="23"/>
      <c r="D91" s="23"/>
      <c r="E91" s="23"/>
      <c r="F91" s="23"/>
    </row>
    <row r="92" spans="1:6" ht="15" hidden="1" customHeight="1" x14ac:dyDescent="0.25">
      <c r="A92" t="s">
        <v>48</v>
      </c>
      <c r="B92" s="14"/>
      <c r="C92" s="25">
        <f>B92-C71</f>
        <v>0</v>
      </c>
      <c r="D92" s="25">
        <f>C92-D71</f>
        <v>0</v>
      </c>
      <c r="E92" s="25">
        <f>D92-E71</f>
        <v>0</v>
      </c>
      <c r="F92" s="25">
        <f>E92-F71</f>
        <v>0</v>
      </c>
    </row>
    <row r="93" spans="1:6" ht="15" hidden="1" customHeight="1" x14ac:dyDescent="0.25">
      <c r="A93" t="s">
        <v>51</v>
      </c>
      <c r="B93" s="14"/>
      <c r="C93" s="25">
        <f>B93</f>
        <v>0</v>
      </c>
      <c r="D93" s="25">
        <f>C93</f>
        <v>0</v>
      </c>
      <c r="E93" s="25">
        <f>D93</f>
        <v>0</v>
      </c>
      <c r="F93" s="25">
        <f>E93</f>
        <v>0</v>
      </c>
    </row>
    <row r="94" spans="1:6" ht="15" hidden="1" customHeight="1" x14ac:dyDescent="0.25">
      <c r="A94" t="s">
        <v>38</v>
      </c>
      <c r="B94" s="14"/>
      <c r="C94" s="25" t="e">
        <f>C96+#REF!</f>
        <v>#REF!</v>
      </c>
      <c r="D94" s="25" t="e">
        <f>D96+#REF!</f>
        <v>#REF!</v>
      </c>
      <c r="E94" s="25" t="e">
        <f>E96+#REF!</f>
        <v>#REF!</v>
      </c>
      <c r="F94" s="25" t="e">
        <f>F96+#REF!</f>
        <v>#REF!</v>
      </c>
    </row>
    <row r="95" spans="1:6" ht="15" hidden="1" customHeight="1" x14ac:dyDescent="0.25">
      <c r="A95" t="s">
        <v>37</v>
      </c>
      <c r="B95" s="14"/>
      <c r="C95" s="25">
        <f>B94</f>
        <v>0</v>
      </c>
      <c r="D95" s="25" t="e">
        <f>C94</f>
        <v>#REF!</v>
      </c>
      <c r="E95" s="25" t="e">
        <f>D94</f>
        <v>#REF!</v>
      </c>
      <c r="F95" s="25" t="e">
        <f>E94</f>
        <v>#REF!</v>
      </c>
    </row>
    <row r="96" spans="1:6" ht="15" hidden="1" customHeight="1" x14ac:dyDescent="0.25">
      <c r="A96" t="s">
        <v>41</v>
      </c>
      <c r="B96" s="14"/>
      <c r="C96" s="25" t="e">
        <f>C95+(SUM(C20:C23)+#REF!+C29+#REF!+C40+C42+#REF!+C63+C68+C69+C70+C71+C72+C74+C75+C67)</f>
        <v>#REF!</v>
      </c>
      <c r="D96" s="25" t="e">
        <f>D95+(SUM(D20:D23)+#REF!+D29+#REF!+D40+D42+#REF!+D63+D68+D69+D70+D71+D72+D74+D75+D67)</f>
        <v>#REF!</v>
      </c>
      <c r="E96" s="25" t="e">
        <f>E95+(SUM(E20:E23)+#REF!+E29+#REF!+E40+E42+#REF!+E63+E68+E69+E70+E71+E72+E74+E75+E67)</f>
        <v>#REF!</v>
      </c>
      <c r="F96" s="25" t="e">
        <f>F95+(SUM(F20:F23)+#REF!+F29+#REF!+F40+F42+#REF!+F63+F68+F69+F70+F71+F72+F74+F75+F67)</f>
        <v>#REF!</v>
      </c>
    </row>
    <row r="97" spans="1:6" ht="15" hidden="1" customHeight="1" x14ac:dyDescent="0.25">
      <c r="A97" s="35" t="s">
        <v>49</v>
      </c>
      <c r="B97" s="36"/>
      <c r="C97" s="37"/>
      <c r="D97" s="37"/>
      <c r="E97" s="37"/>
      <c r="F97" s="37"/>
    </row>
    <row r="98" spans="1:6" s="1" customFormat="1" ht="15" hidden="1" customHeight="1" x14ac:dyDescent="0.25">
      <c r="A98" s="1" t="s">
        <v>52</v>
      </c>
      <c r="B98" s="6">
        <f t="shared" ref="B98:E98" si="11">SUM(B91:B94)+B97</f>
        <v>0</v>
      </c>
      <c r="C98" s="27" t="e">
        <f t="shared" si="11"/>
        <v>#REF!</v>
      </c>
      <c r="D98" s="27" t="e">
        <f t="shared" si="11"/>
        <v>#REF!</v>
      </c>
      <c r="E98" s="27" t="e">
        <f t="shared" si="11"/>
        <v>#REF!</v>
      </c>
      <c r="F98" s="27" t="e">
        <f t="shared" ref="F98" si="12">SUM(F91:F94)+F97</f>
        <v>#REF!</v>
      </c>
    </row>
    <row r="99" spans="1:6" s="10" customFormat="1" ht="15" hidden="1" customHeight="1" x14ac:dyDescent="0.25">
      <c r="A99" s="10" t="s">
        <v>39</v>
      </c>
      <c r="B99" s="5"/>
      <c r="C99" s="28"/>
      <c r="D99" s="28"/>
      <c r="E99" s="33" t="e">
        <f t="shared" ref="E99:F99" si="13">AVERAGE(E95:E96)</f>
        <v>#REF!</v>
      </c>
      <c r="F99" s="33" t="e">
        <f t="shared" si="13"/>
        <v>#REF!</v>
      </c>
    </row>
    <row r="100" spans="1:6" ht="15" hidden="1" customHeight="1" x14ac:dyDescent="0.25">
      <c r="B100" s="5"/>
      <c r="C100" s="28"/>
      <c r="D100" s="28"/>
      <c r="E100" s="25"/>
      <c r="F100" s="25"/>
    </row>
    <row r="101" spans="1:6" ht="15" hidden="1" customHeight="1" x14ac:dyDescent="0.25">
      <c r="A101" t="s">
        <v>54</v>
      </c>
      <c r="B101" s="18"/>
      <c r="C101" s="31"/>
      <c r="D101" s="31"/>
      <c r="E101" s="23"/>
      <c r="F101" s="23"/>
    </row>
    <row r="102" spans="1:6" s="1" customFormat="1" ht="15" hidden="1" customHeight="1" x14ac:dyDescent="0.25">
      <c r="A102" s="1" t="s">
        <v>50</v>
      </c>
      <c r="B102" s="6" t="e">
        <f t="shared" ref="B102:F102" si="14">B89+B98</f>
        <v>#REF!</v>
      </c>
      <c r="C102" s="27" t="e">
        <f t="shared" si="14"/>
        <v>#REF!</v>
      </c>
      <c r="D102" s="27" t="e">
        <f t="shared" si="14"/>
        <v>#REF!</v>
      </c>
      <c r="E102" s="27" t="e">
        <f t="shared" si="14"/>
        <v>#REF!</v>
      </c>
      <c r="F102" s="27" t="e">
        <f t="shared" si="14"/>
        <v>#REF!</v>
      </c>
    </row>
    <row r="103" spans="1:6" ht="15" hidden="1" customHeight="1" x14ac:dyDescent="0.25">
      <c r="B103" s="3"/>
      <c r="C103" s="25"/>
      <c r="D103" s="25"/>
      <c r="E103" s="25"/>
      <c r="F103" s="25"/>
    </row>
    <row r="104" spans="1:6" ht="15" hidden="1" customHeight="1" x14ac:dyDescent="0.25">
      <c r="A104" t="s">
        <v>40</v>
      </c>
      <c r="B104" s="17"/>
      <c r="C104" s="32"/>
      <c r="D104" s="32"/>
      <c r="E104" s="32"/>
      <c r="F104" s="32"/>
    </row>
    <row r="105" spans="1:6" ht="15" customHeight="1" x14ac:dyDescent="0.25"/>
    <row r="106" spans="1:6" ht="15" customHeight="1" x14ac:dyDescent="0.25"/>
    <row r="107" spans="1:6" ht="15" customHeight="1" x14ac:dyDescent="0.25">
      <c r="B107" s="51"/>
      <c r="C107" s="51"/>
    </row>
    <row r="108" spans="1:6" x14ac:dyDescent="0.25">
      <c r="B108" s="51"/>
      <c r="C108" s="51"/>
    </row>
    <row r="109" spans="1:6" x14ac:dyDescent="0.25">
      <c r="B109" s="51"/>
      <c r="C109" s="51"/>
    </row>
    <row r="110" spans="1:6" x14ac:dyDescent="0.25">
      <c r="B110" s="51"/>
      <c r="C110" s="51"/>
    </row>
    <row r="111" spans="1:6" hidden="1" x14ac:dyDescent="0.25">
      <c r="B111" s="51"/>
      <c r="C111" s="51"/>
    </row>
    <row r="112" spans="1:6" hidden="1" x14ac:dyDescent="0.25">
      <c r="B112" s="51"/>
      <c r="C112" s="51"/>
    </row>
    <row r="113" spans="2:3" x14ac:dyDescent="0.25">
      <c r="B113" s="51"/>
      <c r="C113" s="51"/>
    </row>
    <row r="114" spans="2:3" x14ac:dyDescent="0.25">
      <c r="B114" s="51"/>
      <c r="C114" s="51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A9EE45E7192C45AC1F9438302F2754" ma:contentTypeVersion="4" ma:contentTypeDescription="Opret et nyt dokument." ma:contentTypeScope="" ma:versionID="b0a19d8297c1504b9193efcff79d7993">
  <xsd:schema xmlns:xsd="http://www.w3.org/2001/XMLSchema" xmlns:xs="http://www.w3.org/2001/XMLSchema" xmlns:p="http://schemas.microsoft.com/office/2006/metadata/properties" xmlns:ns2="abbeec68-b05e-4e2e-88e5-2ac3e13fe809" xmlns:ns3="14bfd2bb-3d4a-4549-9197-f3410a8da64b" xmlns:ns4="57021d92-9e92-4758-8794-a680fdf0dfa0" targetNamespace="http://schemas.microsoft.com/office/2006/metadata/properties" ma:root="true" ma:fieldsID="7a5034236f385c866e558a3b47405fef" ns2:_="" ns3:_="" ns4:_="">
    <xsd:import namespace="abbeec68-b05e-4e2e-88e5-2ac3e13fe809"/>
    <xsd:import namespace="14bfd2bb-3d4a-4549-9197-f3410a8da64b"/>
    <xsd:import namespace="57021d92-9e92-4758-8794-a680fdf0dfa0"/>
    <xsd:element name="properties">
      <xsd:complexType>
        <xsd:sequence>
          <xsd:element name="documentManagement">
            <xsd:complexType>
              <xsd:all>
                <xsd:element ref="ns2:wp_tag" minOccurs="0"/>
                <xsd:element ref="ns3:wpItemlocation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eec68-b05e-4e2e-88e5-2ac3e13fe809" elementFormDefault="qualified">
    <xsd:import namespace="http://schemas.microsoft.com/office/2006/documentManagement/types"/>
    <xsd:import namespace="http://schemas.microsoft.com/office/infopath/2007/PartnerControls"/>
    <xsd:element name="wp_tag" ma:index="8" nillable="true" ma:displayName="Stadie mærke" ma:default="Element" ma:internalName="wp_tag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d2bb-3d4a-4549-9197-f3410a8da64b" elementFormDefault="qualified">
    <xsd:import namespace="http://schemas.microsoft.com/office/2006/documentManagement/types"/>
    <xsd:import namespace="http://schemas.microsoft.com/office/infopath/2007/PartnerControls"/>
    <xsd:element name="wpItemlocation" ma:index="9" nillable="true" ma:displayName="wpItemLocation" ma:default="90e3d2ed5ca346a5a01dd5bc6029cf20;a32bf994ad4a440b82e391a7135e6903;885;" ma:internalName="wpItem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21d92-9e92-4758-8794-a680fdf0df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p_tag xmlns="abbeec68-b05e-4e2e-88e5-2ac3e13fe809">Element</wp_tag>
    <wpItemlocation xmlns="14bfd2bb-3d4a-4549-9197-f3410a8da64b">90e3d2ed5ca346a5a01dd5bc6029cf20;a32bf994ad4a440b82e391a7135e6903;885;</wpItemlocation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9B1936-62D2-4145-9348-DEA4FDC229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beec68-b05e-4e2e-88e5-2ac3e13fe809"/>
    <ds:schemaRef ds:uri="14bfd2bb-3d4a-4549-9197-f3410a8da64b"/>
    <ds:schemaRef ds:uri="57021d92-9e92-4758-8794-a680fdf0df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BB9FA9-FAD3-445E-99CD-F982A145A6A0}">
  <ds:schemaRefs>
    <ds:schemaRef ds:uri="http://purl.org/dc/terms/"/>
    <ds:schemaRef ds:uri="http://schemas.openxmlformats.org/package/2006/metadata/core-properties"/>
    <ds:schemaRef ds:uri="14bfd2bb-3d4a-4549-9197-f3410a8da64b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7021d92-9e92-4758-8794-a680fdf0dfa0"/>
    <ds:schemaRef ds:uri="abbeec68-b05e-4e2e-88e5-2ac3e13fe80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42A1EFA-B717-4D64-A396-BA07B15D5A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Introduktion</vt:lpstr>
      <vt:lpstr>Indtastning</vt:lpstr>
      <vt:lpstr>Følsomhedsberegning</vt:lpstr>
      <vt:lpstr>Følsomhedsberegning!Udskriftsområde</vt:lpstr>
    </vt:vector>
  </TitlesOfParts>
  <Company>MB Solutions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Grovbudget - A17</dc:title>
  <dc:creator>Chs</dc:creator>
  <cp:lastModifiedBy>Sanne Trampedach</cp:lastModifiedBy>
  <cp:lastPrinted>2022-08-15T12:36:47Z</cp:lastPrinted>
  <dcterms:created xsi:type="dcterms:W3CDTF">2013-04-23T05:35:28Z</dcterms:created>
  <dcterms:modified xsi:type="dcterms:W3CDTF">2022-12-20T06:22:43Z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0x01010025A9EE45E7192C45AC1F9438302F2754</vt:lpwstr>
  </property>
  <property fmtid="{D5CDD505-2E9C-101B-9397-08002B2CF9AE}" pid="3" name="SPPCopyMoveEvent">
    <vt:lpwstr>0</vt:lpwstr>
  </property>
  <property fmtid="{D5CDD505-2E9C-101B-9397-08002B2CF9AE}" pid="4" name="Documenttype">
    <vt:lpwstr>xlsx</vt:lpwstr>
  </property>
</Properties>
</file>