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L:\Ledelse&amp;Økonomi\LandbrugsInfo\01-LandbrugsInfo\23-Promille\"/>
    </mc:Choice>
  </mc:AlternateContent>
  <xr:revisionPtr revIDLastSave="0" documentId="8_{CB6C76CC-ED02-4DAD-8363-09A680D7E093}" xr6:coauthVersionLast="47" xr6:coauthVersionMax="47" xr10:uidLastSave="{00000000-0000-0000-0000-000000000000}"/>
  <bookViews>
    <workbookView xWindow="25080" yWindow="-465" windowWidth="29040" windowHeight="15840" xr2:uid="{00000000-000D-0000-FFFF-FFFF00000000}"/>
  </bookViews>
  <sheets>
    <sheet name="Introduktion" sheetId="7" r:id="rId1"/>
    <sheet name="Vejledning" sheetId="6" r:id="rId2"/>
    <sheet name="Indtast" sheetId="1" r:id="rId3"/>
    <sheet name="Resultater" sheetId="2" r:id="rId4"/>
    <sheet name="3  aars" sheetId="3" r:id="rId5"/>
    <sheet name="Investering" sheetId="4" r:id="rId6"/>
    <sheet name="Finans" sheetId="5" r:id="rId7"/>
  </sheets>
  <definedNames>
    <definedName name="BM_1_" localSheetId="1">Vejledning!$B$2</definedName>
    <definedName name="Budget">Resultater!$A$61:$K$104</definedName>
    <definedName name="FilNavnBoks1" localSheetId="1">Vejledning!$B$42</definedName>
    <definedName name="Indkøringstab">#REF!</definedName>
    <definedName name="Indtast">#N/A</definedName>
    <definedName name="Krav">#REF!</definedName>
    <definedName name="Normer">#N/A</definedName>
    <definedName name="Resultater">Resultater!$F$1:$L$36</definedName>
    <definedName name="Tilbage">Finans!$G$27:$H$46</definedName>
    <definedName name="_xlnm.Print_Area" localSheetId="4">'3  aars'!$A$1:$J$49</definedName>
    <definedName name="_xlnm.Print_Area" localSheetId="2">Indtast!$B$1:$J$135</definedName>
    <definedName name="_xlnm.Print_Area" localSheetId="3">Resultater!$B$1:$J$103</definedName>
    <definedName name="_xlnm.Print_Area" localSheetId="1">Vejledning!$A$1:$L$73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9" i="1" l="1"/>
  <c r="C72" i="1" l="1"/>
  <c r="C74" i="1"/>
  <c r="G39" i="3" l="1"/>
  <c r="D95" i="2"/>
  <c r="J95" i="2" l="1"/>
  <c r="B7" i="4" l="1"/>
  <c r="B8" i="4"/>
  <c r="B9" i="4"/>
  <c r="E44" i="1"/>
  <c r="F62" i="2" l="1"/>
  <c r="C13" i="5"/>
  <c r="C14" i="5"/>
  <c r="C15" i="5"/>
  <c r="C12" i="5"/>
  <c r="F29" i="1"/>
  <c r="F31" i="1"/>
  <c r="F32" i="1"/>
  <c r="B10" i="4"/>
  <c r="B6" i="4"/>
  <c r="B3" i="2"/>
  <c r="B2" i="2"/>
  <c r="E3" i="3" l="1"/>
  <c r="G3" i="3" s="1"/>
  <c r="C18" i="3"/>
  <c r="E32" i="3"/>
  <c r="G32" i="3" s="1"/>
  <c r="I32" i="3" s="1"/>
  <c r="J32" i="3" s="1"/>
  <c r="I39" i="3"/>
  <c r="J39" i="3" s="1"/>
  <c r="D43" i="3"/>
  <c r="D3" i="5"/>
  <c r="E3" i="5"/>
  <c r="F3" i="5"/>
  <c r="G3" i="5"/>
  <c r="C4" i="5"/>
  <c r="D4" i="5"/>
  <c r="E4" i="5"/>
  <c r="C5" i="5"/>
  <c r="D5" i="5"/>
  <c r="E5" i="5"/>
  <c r="C6" i="5"/>
  <c r="D6" i="5"/>
  <c r="E6" i="5"/>
  <c r="C7" i="5"/>
  <c r="D7" i="5"/>
  <c r="E7" i="5"/>
  <c r="C27" i="5"/>
  <c r="C28" i="5" s="1"/>
  <c r="D13" i="1"/>
  <c r="B6" i="2" s="1"/>
  <c r="E19" i="1"/>
  <c r="C19" i="1" s="1"/>
  <c r="E20" i="1"/>
  <c r="C20" i="1" s="1"/>
  <c r="E21" i="1"/>
  <c r="C21" i="1" s="1"/>
  <c r="C7" i="4" s="1"/>
  <c r="E22" i="1"/>
  <c r="C22" i="1" s="1"/>
  <c r="C8" i="4" s="1"/>
  <c r="H8" i="4" s="1"/>
  <c r="F4" i="5"/>
  <c r="K29" i="1"/>
  <c r="F30" i="1"/>
  <c r="F5" i="5" s="1"/>
  <c r="K30" i="1"/>
  <c r="J27" i="2" s="1"/>
  <c r="F6" i="5"/>
  <c r="K31" i="1"/>
  <c r="J28" i="2" s="1"/>
  <c r="F7" i="5"/>
  <c r="K32" i="1"/>
  <c r="J29" i="2" s="1"/>
  <c r="D33" i="1"/>
  <c r="F96" i="2" s="1"/>
  <c r="G64" i="1"/>
  <c r="C64" i="1" s="1"/>
  <c r="G65" i="1"/>
  <c r="C65" i="1" s="1"/>
  <c r="E67" i="1"/>
  <c r="C67" i="1" s="1"/>
  <c r="E68" i="1"/>
  <c r="C68" i="1" s="1"/>
  <c r="E69" i="1"/>
  <c r="C69" i="1" s="1"/>
  <c r="E71" i="1"/>
  <c r="C71" i="1" s="1"/>
  <c r="E73" i="1"/>
  <c r="C73" i="1" s="1"/>
  <c r="E75" i="1"/>
  <c r="E76" i="1"/>
  <c r="C76" i="1" s="1"/>
  <c r="E77" i="1"/>
  <c r="F79" i="1"/>
  <c r="H20" i="2" s="1"/>
  <c r="D85" i="1"/>
  <c r="D86" i="1"/>
  <c r="J88" i="1"/>
  <c r="D89" i="1"/>
  <c r="D104" i="1"/>
  <c r="D106" i="1"/>
  <c r="J108" i="1"/>
  <c r="I108" i="1" s="1"/>
  <c r="D115" i="1"/>
  <c r="J116" i="1"/>
  <c r="L133" i="1"/>
  <c r="L134" i="1"/>
  <c r="L135" i="1"/>
  <c r="E6" i="4"/>
  <c r="D7" i="4"/>
  <c r="D9" i="4" s="1"/>
  <c r="I9" i="4" s="1"/>
  <c r="E7" i="4"/>
  <c r="D6" i="2"/>
  <c r="F6" i="2"/>
  <c r="H7" i="2"/>
  <c r="F17" i="2"/>
  <c r="H17" i="2"/>
  <c r="H18" i="2" s="1"/>
  <c r="F20" i="2"/>
  <c r="F21" i="2" s="1"/>
  <c r="D25" i="2"/>
  <c r="F25" i="2"/>
  <c r="H25" i="2"/>
  <c r="J25" i="2"/>
  <c r="B26" i="2"/>
  <c r="D26" i="2"/>
  <c r="F26" i="2"/>
  <c r="H26" i="2"/>
  <c r="J26" i="2"/>
  <c r="B27" i="2"/>
  <c r="D27" i="2"/>
  <c r="F27" i="2"/>
  <c r="B28" i="2"/>
  <c r="D28" i="2"/>
  <c r="F28" i="2"/>
  <c r="H28" i="2"/>
  <c r="B29" i="2"/>
  <c r="D29" i="2"/>
  <c r="F29" i="2"/>
  <c r="C37" i="2"/>
  <c r="C38" i="2"/>
  <c r="D38" i="2"/>
  <c r="H38" i="2"/>
  <c r="D62" i="2"/>
  <c r="D64" i="2"/>
  <c r="F64" i="2"/>
  <c r="F78" i="2" s="1"/>
  <c r="D68" i="2"/>
  <c r="F68" i="2"/>
  <c r="J72" i="2"/>
  <c r="B76" i="2"/>
  <c r="D76" i="2"/>
  <c r="H76" i="2"/>
  <c r="J76" i="2"/>
  <c r="D78" i="2"/>
  <c r="D79" i="2"/>
  <c r="D80" i="2"/>
  <c r="D81" i="2"/>
  <c r="D83" i="2"/>
  <c r="D84" i="2"/>
  <c r="D85" i="2"/>
  <c r="H85" i="2" s="1"/>
  <c r="D88" i="2"/>
  <c r="H88" i="2" s="1"/>
  <c r="J88" i="2" s="1"/>
  <c r="J92" i="2"/>
  <c r="D96" i="2"/>
  <c r="D98" i="2"/>
  <c r="D100" i="2"/>
  <c r="D101" i="2"/>
  <c r="D102" i="2"/>
  <c r="D103" i="2"/>
  <c r="D69" i="2" l="1"/>
  <c r="C77" i="1"/>
  <c r="F69" i="2" s="1"/>
  <c r="F75" i="2" s="1"/>
  <c r="C75" i="1"/>
  <c r="D6" i="4" s="1"/>
  <c r="I6" i="4" s="1"/>
  <c r="D63" i="2"/>
  <c r="L51" i="5"/>
  <c r="L52" i="5"/>
  <c r="E56" i="1"/>
  <c r="H96" i="2"/>
  <c r="E40" i="3" s="1"/>
  <c r="D8" i="5"/>
  <c r="D75" i="2"/>
  <c r="J20" i="2"/>
  <c r="J21" i="2" s="1"/>
  <c r="D82" i="2"/>
  <c r="E14" i="3"/>
  <c r="D30" i="2"/>
  <c r="B27" i="5"/>
  <c r="L27" i="5" s="1"/>
  <c r="H27" i="2"/>
  <c r="F7" i="2"/>
  <c r="D10" i="4"/>
  <c r="I10" i="4" s="1"/>
  <c r="I7" i="4"/>
  <c r="D37" i="2"/>
  <c r="H29" i="2"/>
  <c r="F41" i="2"/>
  <c r="H41" i="2" s="1"/>
  <c r="H68" i="2"/>
  <c r="H64" i="2"/>
  <c r="H7" i="4"/>
  <c r="H9" i="2"/>
  <c r="F9" i="2" s="1"/>
  <c r="H62" i="2"/>
  <c r="J62" i="2" s="1"/>
  <c r="J63" i="2" s="1"/>
  <c r="B28" i="5"/>
  <c r="L28" i="5" s="1"/>
  <c r="C29" i="5"/>
  <c r="C30" i="5" s="1"/>
  <c r="D65" i="2"/>
  <c r="D74" i="2" s="1"/>
  <c r="D48" i="2"/>
  <c r="C6" i="4"/>
  <c r="F83" i="2"/>
  <c r="H83" i="2" s="1"/>
  <c r="D22" i="5"/>
  <c r="G2" i="4"/>
  <c r="E29" i="3"/>
  <c r="G29" i="3" s="1"/>
  <c r="I29" i="3" s="1"/>
  <c r="J29" i="3" s="1"/>
  <c r="J85" i="2"/>
  <c r="F79" i="2"/>
  <c r="H79" i="2" s="1"/>
  <c r="F81" i="2"/>
  <c r="H81" i="2" s="1"/>
  <c r="J17" i="2"/>
  <c r="F18" i="2"/>
  <c r="J18" i="2" s="1"/>
  <c r="H10" i="2"/>
  <c r="F10" i="2" s="1"/>
  <c r="J7" i="3"/>
  <c r="G71" i="1"/>
  <c r="I47" i="3"/>
  <c r="H101" i="2" s="1"/>
  <c r="F2" i="4"/>
  <c r="E78" i="1"/>
  <c r="H21" i="2"/>
  <c r="J18" i="3"/>
  <c r="E18" i="3"/>
  <c r="G18" i="3"/>
  <c r="I18" i="3"/>
  <c r="G69" i="1"/>
  <c r="J5" i="3"/>
  <c r="D14" i="5"/>
  <c r="E14" i="5" s="1"/>
  <c r="G6" i="5"/>
  <c r="G4" i="5"/>
  <c r="D12" i="5"/>
  <c r="G67" i="1"/>
  <c r="D15" i="5"/>
  <c r="E15" i="5" s="1"/>
  <c r="G7" i="5"/>
  <c r="G14" i="3"/>
  <c r="I3" i="3"/>
  <c r="G36" i="3"/>
  <c r="D13" i="5"/>
  <c r="E13" i="5" s="1"/>
  <c r="G5" i="5"/>
  <c r="E36" i="3"/>
  <c r="H69" i="2" l="1"/>
  <c r="E10" i="3"/>
  <c r="F80" i="2"/>
  <c r="H80" i="2" s="1"/>
  <c r="C78" i="1"/>
  <c r="H65" i="2"/>
  <c r="F65" i="2" s="1"/>
  <c r="B29" i="5"/>
  <c r="L29" i="5" s="1"/>
  <c r="H75" i="2"/>
  <c r="D77" i="2"/>
  <c r="D86" i="2" s="1"/>
  <c r="D94" i="2" s="1"/>
  <c r="D97" i="2" s="1"/>
  <c r="I48" i="3"/>
  <c r="H102" i="2" s="1"/>
  <c r="I46" i="3"/>
  <c r="H100" i="2" s="1"/>
  <c r="I49" i="3"/>
  <c r="H103" i="2" s="1"/>
  <c r="E4" i="3"/>
  <c r="G4" i="3" s="1"/>
  <c r="E6" i="3"/>
  <c r="G6" i="3" s="1"/>
  <c r="G7" i="3" s="1"/>
  <c r="H52" i="2"/>
  <c r="J64" i="2"/>
  <c r="J65" i="2" s="1"/>
  <c r="D16" i="5"/>
  <c r="F84" i="2" s="1"/>
  <c r="H84" i="2" s="1"/>
  <c r="E28" i="3" s="1"/>
  <c r="J68" i="2"/>
  <c r="F40" i="2"/>
  <c r="G68" i="1"/>
  <c r="D23" i="1" s="1"/>
  <c r="C23" i="1" s="1"/>
  <c r="H15" i="5"/>
  <c r="I15" i="5" s="1"/>
  <c r="F15" i="5"/>
  <c r="G15" i="5" s="1"/>
  <c r="J15" i="5" s="1"/>
  <c r="K15" i="5" s="1"/>
  <c r="H14" i="5"/>
  <c r="I14" i="5" s="1"/>
  <c r="F14" i="5"/>
  <c r="G14" i="5" s="1"/>
  <c r="J14" i="5" s="1"/>
  <c r="K14" i="5" s="1"/>
  <c r="E23" i="3"/>
  <c r="G23" i="3" s="1"/>
  <c r="I23" i="3" s="1"/>
  <c r="J23" i="3" s="1"/>
  <c r="J80" i="2"/>
  <c r="E22" i="3"/>
  <c r="G22" i="3" s="1"/>
  <c r="I22" i="3" s="1"/>
  <c r="J22" i="3" s="1"/>
  <c r="J79" i="2"/>
  <c r="H13" i="5"/>
  <c r="I13" i="5" s="1"/>
  <c r="F13" i="5"/>
  <c r="G13" i="5" s="1"/>
  <c r="J13" i="5" s="1"/>
  <c r="K13" i="5" s="1"/>
  <c r="I14" i="3"/>
  <c r="J3" i="3"/>
  <c r="I36" i="3"/>
  <c r="B30" i="5"/>
  <c r="L30" i="5" s="1"/>
  <c r="C31" i="5"/>
  <c r="E12" i="5"/>
  <c r="G10" i="3"/>
  <c r="I10" i="3"/>
  <c r="J10" i="3"/>
  <c r="F82" i="2"/>
  <c r="F42" i="2"/>
  <c r="E24" i="3"/>
  <c r="G24" i="3" s="1"/>
  <c r="I24" i="3" s="1"/>
  <c r="J24" i="3" s="1"/>
  <c r="J81" i="2"/>
  <c r="E7" i="3"/>
  <c r="E27" i="3"/>
  <c r="G27" i="3" s="1"/>
  <c r="I27" i="3" s="1"/>
  <c r="J27" i="3" s="1"/>
  <c r="J83" i="2"/>
  <c r="G6" i="4"/>
  <c r="G11" i="4" s="1"/>
  <c r="G8" i="4"/>
  <c r="G7" i="4"/>
  <c r="H78" i="2"/>
  <c r="K6" i="4"/>
  <c r="F7" i="4"/>
  <c r="J7" i="4"/>
  <c r="F9" i="4"/>
  <c r="K9" i="4"/>
  <c r="H2" i="4"/>
  <c r="K7" i="4"/>
  <c r="C39" i="2"/>
  <c r="F6" i="4"/>
  <c r="F10" i="4"/>
  <c r="J2" i="4"/>
  <c r="F8" i="4"/>
  <c r="J10" i="4"/>
  <c r="K2" i="4"/>
  <c r="J6" i="4"/>
  <c r="J8" i="4"/>
  <c r="J9" i="4"/>
  <c r="K10" i="4"/>
  <c r="K8" i="4"/>
  <c r="E11" i="3"/>
  <c r="E17" i="3" s="1"/>
  <c r="G11" i="3"/>
  <c r="I11" i="3"/>
  <c r="J11" i="3"/>
  <c r="J69" i="2"/>
  <c r="H6" i="4"/>
  <c r="H8" i="2"/>
  <c r="E23" i="1" l="1"/>
  <c r="I6" i="3"/>
  <c r="I7" i="3" s="1"/>
  <c r="J6" i="3"/>
  <c r="D87" i="2"/>
  <c r="D89" i="2" s="1"/>
  <c r="J75" i="2"/>
  <c r="J74" i="2"/>
  <c r="D40" i="2"/>
  <c r="H40" i="2"/>
  <c r="H63" i="2"/>
  <c r="J17" i="3"/>
  <c r="E16" i="5"/>
  <c r="H12" i="5"/>
  <c r="F12" i="5"/>
  <c r="F8" i="2"/>
  <c r="I17" i="3"/>
  <c r="C9" i="4"/>
  <c r="E24" i="1"/>
  <c r="C24" i="1" s="1"/>
  <c r="D25" i="1" s="1"/>
  <c r="D34" i="1" s="1"/>
  <c r="H42" i="2"/>
  <c r="D21" i="5"/>
  <c r="G17" i="3"/>
  <c r="J36" i="3"/>
  <c r="J14" i="3"/>
  <c r="G5" i="3"/>
  <c r="G16" i="3" s="1"/>
  <c r="I4" i="3"/>
  <c r="E21" i="3"/>
  <c r="H82" i="2"/>
  <c r="J78" i="2"/>
  <c r="J82" i="2" s="1"/>
  <c r="B31" i="5"/>
  <c r="L31" i="5" s="1"/>
  <c r="C32" i="5"/>
  <c r="J77" i="2" l="1"/>
  <c r="D51" i="5"/>
  <c r="D52" i="5"/>
  <c r="E5" i="3"/>
  <c r="E16" i="3" s="1"/>
  <c r="E19" i="3" s="1"/>
  <c r="H74" i="2"/>
  <c r="I5" i="3"/>
  <c r="I16" i="3" s="1"/>
  <c r="I19" i="3" s="1"/>
  <c r="J4" i="3"/>
  <c r="J16" i="3" s="1"/>
  <c r="J19" i="3" s="1"/>
  <c r="H16" i="5"/>
  <c r="I12" i="5"/>
  <c r="I16" i="5" s="1"/>
  <c r="I40" i="3" s="1"/>
  <c r="E25" i="3"/>
  <c r="G21" i="3"/>
  <c r="D27" i="5"/>
  <c r="D29" i="5"/>
  <c r="D28" i="5"/>
  <c r="C33" i="5"/>
  <c r="B32" i="5"/>
  <c r="L32" i="5" s="1"/>
  <c r="D32" i="5" s="1"/>
  <c r="G19" i="3"/>
  <c r="H9" i="4"/>
  <c r="D31" i="5"/>
  <c r="E25" i="1"/>
  <c r="D30" i="5"/>
  <c r="C10" i="4"/>
  <c r="H10" i="4" s="1"/>
  <c r="F16" i="5"/>
  <c r="G12" i="5"/>
  <c r="J11" i="4" l="1"/>
  <c r="K11" i="4"/>
  <c r="F11" i="4"/>
  <c r="H11" i="4"/>
  <c r="E30" i="3"/>
  <c r="E38" i="3" s="1"/>
  <c r="H77" i="2"/>
  <c r="H86" i="2" s="1"/>
  <c r="F74" i="2"/>
  <c r="F77" i="2" s="1"/>
  <c r="F86" i="2" s="1"/>
  <c r="F94" i="2" s="1"/>
  <c r="H11" i="2"/>
  <c r="F11" i="2" s="1"/>
  <c r="F12" i="2" s="1"/>
  <c r="G16" i="5"/>
  <c r="G40" i="3" s="1"/>
  <c r="J96" i="2" s="1"/>
  <c r="J12" i="5"/>
  <c r="B33" i="5"/>
  <c r="L33" i="5" s="1"/>
  <c r="D33" i="5" s="1"/>
  <c r="C34" i="5"/>
  <c r="G25" i="3"/>
  <c r="I21" i="3"/>
  <c r="C11" i="4"/>
  <c r="F95" i="2" s="1"/>
  <c r="E33" i="3" l="1"/>
  <c r="H12" i="2"/>
  <c r="D20" i="5" s="1"/>
  <c r="F26" i="5" s="1"/>
  <c r="E27" i="5" s="1"/>
  <c r="H94" i="2"/>
  <c r="H87" i="2"/>
  <c r="H89" i="2" s="1"/>
  <c r="H12" i="4"/>
  <c r="H50" i="2" s="1"/>
  <c r="F43" i="2"/>
  <c r="F44" i="2" s="1"/>
  <c r="J12" i="4"/>
  <c r="H51" i="2" s="1"/>
  <c r="H43" i="2"/>
  <c r="H44" i="2" s="1"/>
  <c r="H48" i="2" s="1"/>
  <c r="G12" i="4"/>
  <c r="K12" i="4"/>
  <c r="H53" i="2" s="1"/>
  <c r="J21" i="3"/>
  <c r="J25" i="3" s="1"/>
  <c r="I25" i="3"/>
  <c r="H95" i="2"/>
  <c r="F97" i="2"/>
  <c r="B34" i="5"/>
  <c r="L34" i="5" s="1"/>
  <c r="D34" i="5" s="1"/>
  <c r="C35" i="5"/>
  <c r="J16" i="5"/>
  <c r="K12" i="5"/>
  <c r="K16" i="5" s="1"/>
  <c r="J40" i="3" s="1"/>
  <c r="F27" i="5" l="1"/>
  <c r="E28" i="5" s="1"/>
  <c r="E39" i="3"/>
  <c r="E42" i="3" s="1"/>
  <c r="E43" i="3" s="1"/>
  <c r="H97" i="2"/>
  <c r="H98" i="2" s="1"/>
  <c r="B35" i="5"/>
  <c r="L35" i="5" s="1"/>
  <c r="D35" i="5" s="1"/>
  <c r="C36" i="5"/>
  <c r="G27" i="5" l="1"/>
  <c r="F28" i="5"/>
  <c r="G28" i="5" s="1"/>
  <c r="F42" i="3"/>
  <c r="G28" i="3" s="1"/>
  <c r="B36" i="5"/>
  <c r="L36" i="5" s="1"/>
  <c r="D36" i="5" s="1"/>
  <c r="C37" i="5"/>
  <c r="E29" i="5" l="1"/>
  <c r="F29" i="5" s="1"/>
  <c r="G29" i="5" s="1"/>
  <c r="B37" i="5"/>
  <c r="L37" i="5" s="1"/>
  <c r="D37" i="5" s="1"/>
  <c r="C38" i="5"/>
  <c r="J84" i="2"/>
  <c r="J86" i="2" s="1"/>
  <c r="J94" i="2" s="1"/>
  <c r="G30" i="3"/>
  <c r="E30" i="5" l="1"/>
  <c r="F30" i="5" s="1"/>
  <c r="G30" i="5" s="1"/>
  <c r="G33" i="3"/>
  <c r="G38" i="3"/>
  <c r="J87" i="2"/>
  <c r="J89" i="2" s="1"/>
  <c r="J97" i="2"/>
  <c r="B38" i="5"/>
  <c r="L38" i="5" s="1"/>
  <c r="D38" i="5" s="1"/>
  <c r="C39" i="5"/>
  <c r="E31" i="5" l="1"/>
  <c r="F31" i="5" s="1"/>
  <c r="G31" i="5" s="1"/>
  <c r="B39" i="5"/>
  <c r="L39" i="5" s="1"/>
  <c r="D39" i="5" s="1"/>
  <c r="C40" i="5"/>
  <c r="E32" i="5" l="1"/>
  <c r="F32" i="5" s="1"/>
  <c r="G32" i="5" s="1"/>
  <c r="G42" i="3"/>
  <c r="G43" i="3" s="1"/>
  <c r="H42" i="3" s="1"/>
  <c r="B40" i="5"/>
  <c r="L40" i="5" s="1"/>
  <c r="D40" i="5" s="1"/>
  <c r="C41" i="5"/>
  <c r="E33" i="5" l="1"/>
  <c r="F33" i="5" s="1"/>
  <c r="G33" i="5" s="1"/>
  <c r="I28" i="3"/>
  <c r="B41" i="5"/>
  <c r="L41" i="5" s="1"/>
  <c r="D41" i="5" s="1"/>
  <c r="C42" i="5"/>
  <c r="E34" i="5" l="1"/>
  <c r="F34" i="5" s="1"/>
  <c r="G34" i="5" s="1"/>
  <c r="I30" i="3"/>
  <c r="B42" i="5"/>
  <c r="L42" i="5" s="1"/>
  <c r="D42" i="5" s="1"/>
  <c r="C43" i="5"/>
  <c r="E35" i="5" l="1"/>
  <c r="F35" i="5" s="1"/>
  <c r="G35" i="5" s="1"/>
  <c r="I33" i="3"/>
  <c r="I38" i="3"/>
  <c r="I42" i="3" s="1"/>
  <c r="I43" i="3" s="1"/>
  <c r="B43" i="5"/>
  <c r="L43" i="5" s="1"/>
  <c r="D43" i="5" s="1"/>
  <c r="C44" i="5"/>
  <c r="E36" i="5" l="1"/>
  <c r="F36" i="5" s="1"/>
  <c r="G36" i="5" s="1"/>
  <c r="K42" i="3"/>
  <c r="J28" i="3" s="1"/>
  <c r="J30" i="3" s="1"/>
  <c r="C45" i="5"/>
  <c r="B44" i="5"/>
  <c r="L44" i="5" s="1"/>
  <c r="D44" i="5" s="1"/>
  <c r="E37" i="5" l="1"/>
  <c r="F37" i="5" s="1"/>
  <c r="G37" i="5" s="1"/>
  <c r="J33" i="3"/>
  <c r="J38" i="3"/>
  <c r="J42" i="3" s="1"/>
  <c r="J43" i="3" s="1"/>
  <c r="B45" i="5"/>
  <c r="L45" i="5" s="1"/>
  <c r="D45" i="5" s="1"/>
  <c r="C46" i="5"/>
  <c r="E38" i="5" l="1"/>
  <c r="F38" i="5" s="1"/>
  <c r="G38" i="5" s="1"/>
  <c r="B46" i="5"/>
  <c r="L46" i="5" s="1"/>
  <c r="D46" i="5" s="1"/>
  <c r="C47" i="5"/>
  <c r="E39" i="5" l="1"/>
  <c r="F39" i="5" s="1"/>
  <c r="G39" i="5" s="1"/>
  <c r="C48" i="5"/>
  <c r="B47" i="5"/>
  <c r="L47" i="5" s="1"/>
  <c r="D47" i="5" s="1"/>
  <c r="E40" i="5" l="1"/>
  <c r="F40" i="5" s="1"/>
  <c r="G40" i="5" s="1"/>
  <c r="B48" i="5"/>
  <c r="L48" i="5" s="1"/>
  <c r="D48" i="5" s="1"/>
  <c r="C49" i="5"/>
  <c r="E41" i="5" l="1"/>
  <c r="F41" i="5" s="1"/>
  <c r="G41" i="5" s="1"/>
  <c r="B49" i="5"/>
  <c r="L49" i="5" s="1"/>
  <c r="D49" i="5" s="1"/>
  <c r="C50" i="5"/>
  <c r="E42" i="5" l="1"/>
  <c r="F42" i="5" s="1"/>
  <c r="G42" i="5" s="1"/>
  <c r="C51" i="5"/>
  <c r="C52" i="5" s="1"/>
  <c r="B50" i="5"/>
  <c r="L50" i="5" s="1"/>
  <c r="D50" i="5" s="1"/>
  <c r="D26" i="5" s="1"/>
  <c r="E43" i="5" l="1"/>
  <c r="F43" i="5" s="1"/>
  <c r="G43" i="5" s="1"/>
  <c r="E44" i="5" l="1"/>
  <c r="F44" i="5" s="1"/>
  <c r="G44" i="5" s="1"/>
  <c r="E45" i="5" l="1"/>
  <c r="F45" i="5" s="1"/>
  <c r="G45" i="5" s="1"/>
  <c r="E46" i="5" l="1"/>
  <c r="F46" i="5" s="1"/>
  <c r="G46" i="5" s="1"/>
  <c r="E47" i="5" l="1"/>
  <c r="F47" i="5" s="1"/>
  <c r="G47" i="5" s="1"/>
  <c r="E48" i="5" l="1"/>
  <c r="F48" i="5" s="1"/>
  <c r="G48" i="5" s="1"/>
  <c r="E49" i="5" l="1"/>
  <c r="F49" i="5" s="1"/>
  <c r="G49" i="5" s="1"/>
  <c r="E50" i="5" l="1"/>
  <c r="F50" i="5" s="1"/>
  <c r="G50" i="5" s="1"/>
  <c r="E51" i="5" l="1"/>
  <c r="E26" i="5" s="1"/>
  <c r="F51" i="5" l="1"/>
  <c r="G51" i="5" s="1"/>
  <c r="E52" i="5" l="1"/>
  <c r="F52" i="5" s="1"/>
  <c r="G52" i="5" s="1"/>
  <c r="G26" i="5" s="1"/>
  <c r="F5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Torben Ulf Larsen</author>
    <author>Karen Jørgensen</author>
  </authors>
  <commentList>
    <comment ref="D18" authorId="0" shapeId="0" xr:uid="{00000000-0006-0000-0000-000001000000}">
      <text>
        <r>
          <rPr>
            <sz val="8"/>
            <color indexed="81"/>
            <rFont val="Tahoma"/>
            <family val="2"/>
          </rPr>
          <t xml:space="preserve">Her indberettes egne tal, hvis afvigelse fra norm. Hvis ingen indtatning regnes der videre med norm.
Hvis indtastningen skal være "0" indtast da f.eks. "0,1".
</t>
        </r>
      </text>
    </comment>
    <comment ref="D23" authorId="0" shapeId="0" xr:uid="{00000000-0006-0000-0000-000002000000}">
      <text>
        <r>
          <rPr>
            <sz val="8"/>
            <color indexed="81"/>
            <rFont val="Tahoma"/>
            <family val="2"/>
          </rPr>
          <t xml:space="preserve">Indkøringstabet beregnes som produktionsomfang gange forskel mellem de normale dækningsbidrag og dækningsbidraget de første år
</t>
        </r>
      </text>
    </comment>
    <comment ref="H29" authorId="0" shapeId="0" xr:uid="{00000000-0006-0000-0000-000003000000}">
      <text>
        <r>
          <rPr>
            <sz val="8"/>
            <color indexed="81"/>
            <rFont val="Tahoma"/>
            <family val="2"/>
          </rPr>
          <t xml:space="preserve">a= annuitetslån
s= serielån
st= stående
</t>
        </r>
      </text>
    </comment>
    <comment ref="D46" authorId="0" shapeId="0" xr:uid="{00000000-0006-0000-0000-000004000000}">
      <text>
        <r>
          <rPr>
            <b/>
            <sz val="16"/>
            <color indexed="81"/>
            <rFont val="Tahoma"/>
            <family val="2"/>
          </rPr>
          <t>Husk fortegn</t>
        </r>
        <r>
          <rPr>
            <sz val="8"/>
            <color indexed="81"/>
            <rFont val="Tahoma"/>
            <family val="2"/>
          </rPr>
          <t xml:space="preserve">
</t>
        </r>
      </text>
    </comment>
    <comment ref="D54" authorId="0" shapeId="0" xr:uid="{00000000-0006-0000-0000-000005000000}">
      <text>
        <r>
          <rPr>
            <b/>
            <sz val="8"/>
            <color indexed="81"/>
            <rFont val="Tahoma"/>
            <family val="2"/>
          </rPr>
          <t>Husk fortegn</t>
        </r>
        <r>
          <rPr>
            <sz val="8"/>
            <color indexed="81"/>
            <rFont val="Tahoma"/>
            <family val="2"/>
          </rPr>
          <t xml:space="preserve">
</t>
        </r>
      </text>
    </comment>
    <comment ref="D55" authorId="0" shapeId="0" xr:uid="{00000000-0006-0000-0000-000006000000}">
      <text>
        <r>
          <rPr>
            <b/>
            <sz val="8"/>
            <color indexed="81"/>
            <rFont val="Tahoma"/>
            <family val="2"/>
          </rPr>
          <t>Husk fortegn</t>
        </r>
        <r>
          <rPr>
            <sz val="8"/>
            <color indexed="81"/>
            <rFont val="Tahoma"/>
            <family val="2"/>
          </rPr>
          <t xml:space="preserve">
</t>
        </r>
      </text>
    </comment>
    <comment ref="D56" authorId="0" shapeId="0" xr:uid="{00000000-0006-0000-0000-000007000000}">
      <text>
        <r>
          <rPr>
            <sz val="8"/>
            <color indexed="81"/>
            <rFont val="Tahoma"/>
            <family val="2"/>
          </rPr>
          <t xml:space="preserve">Beregnet krav til reinvestering, både mark og stald
</t>
        </r>
      </text>
    </comment>
    <comment ref="D58" authorId="0" shapeId="0" xr:uid="{00000000-0006-0000-0000-000008000000}">
      <text>
        <r>
          <rPr>
            <sz val="8"/>
            <color indexed="81"/>
            <rFont val="Tahoma"/>
            <family val="2"/>
          </rPr>
          <t xml:space="preserve">Primo og husk fortegn
</t>
        </r>
      </text>
    </comment>
    <comment ref="D59" authorId="0" shapeId="0" xr:uid="{00000000-0006-0000-0000-000009000000}">
      <text>
        <r>
          <rPr>
            <b/>
            <sz val="8"/>
            <color indexed="81"/>
            <rFont val="Tahoma"/>
            <family val="2"/>
          </rPr>
          <t xml:space="preserve">Husk fortegn. Reducerer Til investeringer og afdrag under likviditet
</t>
        </r>
        <r>
          <rPr>
            <sz val="8"/>
            <color indexed="81"/>
            <rFont val="Tahoma"/>
            <family val="2"/>
          </rPr>
          <t xml:space="preserve">
</t>
        </r>
      </text>
    </comment>
    <comment ref="D64" authorId="0" shapeId="0" xr:uid="{00000000-0006-0000-0000-00000A000000}">
      <text>
        <r>
          <rPr>
            <sz val="8"/>
            <color indexed="81"/>
            <rFont val="Tahoma"/>
            <family val="2"/>
          </rPr>
          <t xml:space="preserve">Indtast nyt DB, hvis afvigelse fra normen
</t>
        </r>
      </text>
    </comment>
    <comment ref="D65" authorId="0" shapeId="0" xr:uid="{00000000-0006-0000-0000-00000B000000}">
      <text>
        <r>
          <rPr>
            <sz val="8"/>
            <color indexed="81"/>
            <rFont val="Tahoma"/>
            <family val="2"/>
          </rPr>
          <t xml:space="preserve">Indtast nyt DB, hvis afvigelse fra normen
</t>
        </r>
      </text>
    </comment>
    <comment ref="D67" authorId="0" shapeId="0" xr:uid="{00000000-0006-0000-0000-00000C000000}">
      <text>
        <r>
          <rPr>
            <sz val="8"/>
            <color indexed="81"/>
            <rFont val="Tahoma"/>
            <family val="2"/>
          </rPr>
          <t xml:space="preserve">Indtast pct. indkøringstab, hvis afvigelse fra norm.
Hvis indtastningen skal være "0" indtast da f.eks. "0,001"
</t>
        </r>
      </text>
    </comment>
    <comment ref="G67" authorId="0" shapeId="0" xr:uid="{00000000-0006-0000-0000-00000D000000}">
      <text>
        <r>
          <rPr>
            <sz val="8"/>
            <color indexed="81"/>
            <rFont val="Tahoma"/>
            <family val="2"/>
          </rPr>
          <t xml:space="preserve">Beregnet som pct. af et normalt dækningsbidrag korrigeret for eget indtastet DB og egen indtastet pct. indkøringstab.
</t>
        </r>
      </text>
    </comment>
    <comment ref="G71" authorId="0" shapeId="0" xr:uid="{00000000-0006-0000-0000-00000E000000}">
      <text>
        <r>
          <rPr>
            <sz val="8"/>
            <color indexed="81"/>
            <rFont val="Tahoma"/>
            <family val="2"/>
          </rPr>
          <t xml:space="preserve">Beregnet som pct. af et normalt dækningsbidrag korrigeret for eget indtastet DB og egen
 indtastet pct. indkøringstab.
</t>
        </r>
      </text>
    </comment>
    <comment ref="D73" authorId="0" shapeId="0" xr:uid="{00000000-0006-0000-0000-00000F000000}">
      <text>
        <r>
          <rPr>
            <sz val="8"/>
            <color indexed="81"/>
            <rFont val="Tahoma"/>
            <family val="2"/>
          </rPr>
          <t xml:space="preserve">Indtast ny værdi,
 hvis afvigelse fra norm
</t>
        </r>
      </text>
    </comment>
    <comment ref="D75" authorId="0" shapeId="0" xr:uid="{00000000-0006-0000-0000-000010000000}">
      <text>
        <r>
          <rPr>
            <sz val="8"/>
            <color indexed="81"/>
            <rFont val="Tahoma"/>
            <family val="2"/>
          </rPr>
          <t xml:space="preserve">Indtast levetid, hvis afvigelse fra norm
</t>
        </r>
      </text>
    </comment>
    <comment ref="D77" authorId="0" shapeId="0" xr:uid="{00000000-0006-0000-0000-000011000000}">
      <text>
        <r>
          <rPr>
            <sz val="8"/>
            <color indexed="81"/>
            <rFont val="Tahoma"/>
            <family val="2"/>
          </rPr>
          <t xml:space="preserve">Indtast DB på tilkøbt areal, hvis det afviger fra nudrift. 
NB: Incl. støtte
</t>
        </r>
      </text>
    </comment>
    <comment ref="E77" authorId="0" shapeId="0" xr:uid="{00000000-0006-0000-0000-000012000000}">
      <text>
        <r>
          <rPr>
            <sz val="8"/>
            <color indexed="81"/>
            <rFont val="Tahoma"/>
            <family val="2"/>
          </rPr>
          <t xml:space="preserve">Beregnet  DB pr. ha nudrift
</t>
        </r>
      </text>
    </comment>
    <comment ref="D78" authorId="0" shapeId="0" xr:uid="{00000000-0006-0000-0000-000013000000}">
      <text>
        <r>
          <rPr>
            <sz val="8"/>
            <color indexed="81"/>
            <rFont val="Tahoma"/>
            <family val="2"/>
          </rPr>
          <t xml:space="preserve">Indberet den faktiske løn efter investeringen, hvis den afviger fra beregnet løn
Husk fortegn!
</t>
        </r>
      </text>
    </comment>
    <comment ref="E78" authorId="0" shapeId="0" xr:uid="{00000000-0006-0000-0000-000014000000}">
      <text>
        <r>
          <rPr>
            <sz val="8"/>
            <color indexed="81"/>
            <rFont val="Tahoma"/>
            <family val="2"/>
          </rPr>
          <t xml:space="preserve">Den indberretede løn plus en beregnet norm for investeringen.
</t>
        </r>
      </text>
    </comment>
    <comment ref="D79" authorId="0" shapeId="0" xr:uid="{00000000-0006-0000-0000-000015000000}">
      <text>
        <r>
          <rPr>
            <b/>
            <sz val="8"/>
            <color indexed="81"/>
            <rFont val="Tahoma"/>
            <family val="2"/>
          </rPr>
          <t xml:space="preserve">Indtast "ja",
hvis udvidelse af maskinpark er nødvendig efter køb af jord
Hvis ja, indregnes maskinomkostninger som en pasningsaftale.
</t>
        </r>
      </text>
    </comment>
    <comment ref="J85" authorId="1" shapeId="0" xr:uid="{69F8C1F2-E710-4627-87A6-B61812FB520F}">
      <text>
        <r>
          <rPr>
            <b/>
            <sz val="9"/>
            <color indexed="81"/>
            <rFont val="Tahoma"/>
            <family val="2"/>
          </rPr>
          <t>Karen Jørgensen:</t>
        </r>
        <r>
          <rPr>
            <sz val="9"/>
            <color indexed="81"/>
            <rFont val="Tahoma"/>
            <family val="2"/>
          </rPr>
          <t xml:space="preserve">
Inkl. udmugning og ventilation</t>
        </r>
      </text>
    </comment>
    <comment ref="D104" authorId="0" shapeId="0" xr:uid="{00000000-0006-0000-0000-000016000000}">
      <text>
        <r>
          <rPr>
            <sz val="8"/>
            <color indexed="81"/>
            <rFont val="Tahoma"/>
            <family val="2"/>
          </rPr>
          <t xml:space="preserve">Beregnet som pct. af et normalt dækningsbidrag - korrigeret for eget indtastet DB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Torben Ulf Larsen</author>
  </authors>
  <commentList>
    <comment ref="F6" authorId="0" shapeId="0" xr:uid="{00000000-0006-0000-0100-000001000000}">
      <text>
        <r>
          <rPr>
            <sz val="8"/>
            <color indexed="81"/>
            <rFont val="Tahoma"/>
            <family val="2"/>
          </rPr>
          <t xml:space="preserve">Investeringsbeløbene fordelt på jord, driftsbygninger etc. af hensyn til forskel i levetid og skattemæssig afskrivningsprincip. Her vist pr. enhed.
</t>
        </r>
      </text>
    </comment>
    <comment ref="H6" authorId="0" shapeId="0" xr:uid="{00000000-0006-0000-0100-000002000000}">
      <text>
        <r>
          <rPr>
            <sz val="8"/>
            <color indexed="81"/>
            <rFont val="Tahoma"/>
            <family val="2"/>
          </rPr>
          <t xml:space="preserve">Som kr. pr. årsko, men her vist for hele investeringen
</t>
        </r>
      </text>
    </comment>
    <comment ref="H25" authorId="0" shapeId="0" xr:uid="{00000000-0006-0000-0100-000003000000}">
      <text>
        <r>
          <rPr>
            <sz val="8"/>
            <color indexed="81"/>
            <rFont val="Tahoma"/>
            <family val="2"/>
          </rPr>
          <t xml:space="preserve">Renten er effektiv rente inklusive bidrag.
</t>
        </r>
      </text>
    </comment>
    <comment ref="J25" authorId="0" shapeId="0" xr:uid="{00000000-0006-0000-0100-000004000000}">
      <text>
        <r>
          <rPr>
            <sz val="8"/>
            <color indexed="81"/>
            <rFont val="Tahoma"/>
            <family val="2"/>
          </rPr>
          <t xml:space="preserve">a=annuitetslån
s=serielån
st=stående lån
</t>
        </r>
      </text>
    </comment>
    <comment ref="E36" authorId="0" shapeId="0" xr:uid="{00000000-0006-0000-0100-000005000000}">
      <text>
        <r>
          <rPr>
            <sz val="8"/>
            <color indexed="81"/>
            <rFont val="Tahoma"/>
            <family val="2"/>
          </rPr>
          <t xml:space="preserve">Beregningerne i dette skema svaret til INVE94-beregninger. Resultatet er det gennemsnitlige årlige resultat i hele investeringens levetid. Det har ingen sammenhæng med det regnskabsmæssige resultat.
</t>
        </r>
      </text>
    </comment>
    <comment ref="H37" authorId="0" shapeId="0" xr:uid="{00000000-0006-0000-0100-000006000000}">
      <text>
        <r>
          <rPr>
            <sz val="8"/>
            <color indexed="81"/>
            <rFont val="Tahoma"/>
            <family val="2"/>
          </rPr>
          <t xml:space="preserve">Viser resultatet uden skat i faste priser. Alle beløb er i faste priser og kalkulationsrenten er realrenten
</t>
        </r>
      </text>
    </comment>
    <comment ref="C39" authorId="0" shapeId="0" xr:uid="{00000000-0006-0000-0100-000008000000}">
      <text>
        <r>
          <rPr>
            <sz val="8"/>
            <color indexed="81"/>
            <rFont val="Tahoma"/>
            <family val="2"/>
          </rPr>
          <t xml:space="preserve">Nominel rente minus inflation, også kaldet realrente
</t>
        </r>
      </text>
    </comment>
    <comment ref="B43" authorId="0" shapeId="0" xr:uid="{00000000-0006-0000-0100-000009000000}">
      <text>
        <r>
          <rPr>
            <sz val="8"/>
            <color indexed="81"/>
            <rFont val="Tahoma"/>
            <family val="2"/>
          </rPr>
          <t xml:space="preserve">Mælkekvoten er kun forrentet. Konsekvensen af en afskrivningsperiode på 8 år fremgår af følsomhedsanalysen
</t>
        </r>
      </text>
    </comment>
    <comment ref="B48" authorId="0" shapeId="0" xr:uid="{00000000-0006-0000-0100-00000A000000}">
      <text>
        <r>
          <rPr>
            <sz val="8"/>
            <color indexed="81"/>
            <rFont val="Tahoma"/>
            <family val="2"/>
          </rPr>
          <t xml:space="preserve">Følsomheden viser ændringen i resultatet jvr. den foregåede tabel, hvis en og kun en af forudsætninger ændres som angivet. Følsomheden beregnes ikke med skat
</t>
        </r>
      </text>
    </comment>
    <comment ref="H48" authorId="0" shapeId="0" xr:uid="{00000000-0006-0000-0100-00000B000000}">
      <text>
        <r>
          <rPr>
            <sz val="8"/>
            <color indexed="81"/>
            <rFont val="Tahoma"/>
            <family val="2"/>
          </rPr>
          <t xml:space="preserve">Resultat af lønsomhedsberegning uden skat
</t>
        </r>
      </text>
    </comment>
    <comment ref="H49" authorId="0" shapeId="0" xr:uid="{00000000-0006-0000-0100-00000C000000}">
      <text>
        <r>
          <rPr>
            <sz val="8"/>
            <color indexed="81"/>
            <rFont val="Tahoma"/>
            <family val="2"/>
          </rPr>
          <t xml:space="preserve">Ændringen er vist som kr. pr. enhed
</t>
        </r>
      </text>
    </comment>
    <comment ref="H50" authorId="0" shapeId="0" xr:uid="{00000000-0006-0000-0100-00000E000000}">
      <text>
        <r>
          <rPr>
            <sz val="8"/>
            <color indexed="81"/>
            <rFont val="Tahoma"/>
            <family val="2"/>
          </rPr>
          <t xml:space="preserve">Viser ændringen i resultatet, hvis det investerede beløb er 25 procent mindre end indberettet
</t>
        </r>
      </text>
    </comment>
    <comment ref="H51" authorId="0" shapeId="0" xr:uid="{00000000-0006-0000-0100-00000F000000}">
      <text>
        <r>
          <rPr>
            <sz val="8"/>
            <color indexed="81"/>
            <rFont val="Tahoma"/>
            <family val="2"/>
          </rPr>
          <t xml:space="preserve">Viser ændringen i resultatet, hvis levetiden for driftsbygninger er 5 år længere end indberettet og 2½ år for inventar
</t>
        </r>
      </text>
    </comment>
    <comment ref="H52" authorId="0" shapeId="0" xr:uid="{00000000-0006-0000-0100-000010000000}">
      <text>
        <r>
          <rPr>
            <sz val="8"/>
            <color indexed="81"/>
            <rFont val="Tahoma"/>
            <family val="2"/>
          </rPr>
          <t xml:space="preserve">Viser ændringen i resultatet, hvis arbejdsforbuget er 25 procent mindre end forudsat
</t>
        </r>
      </text>
    </comment>
    <comment ref="H53" authorId="0" shapeId="0" xr:uid="{00000000-0006-0000-0100-000011000000}">
      <text>
        <r>
          <rPr>
            <sz val="8"/>
            <color indexed="81"/>
            <rFont val="Tahoma"/>
            <family val="2"/>
          </rPr>
          <t xml:space="preserve">Viser ændringen i resultatet, hvis kalkulationsrenten ændres med 1 procentpoint
</t>
        </r>
      </text>
    </comment>
    <comment ref="F54" authorId="0" shapeId="0" xr:uid="{00000000-0006-0000-0100-000012000000}">
      <text>
        <r>
          <rPr>
            <sz val="8"/>
            <color indexed="81"/>
            <rFont val="Tahoma"/>
            <family val="2"/>
          </rPr>
          <t xml:space="preserve">Tilbagebetalingstiden er beregnet inklusive forrentning af investeringen
</t>
        </r>
      </text>
    </comment>
    <comment ref="B87" authorId="0" shapeId="0" xr:uid="{00000000-0006-0000-0100-000013000000}">
      <text>
        <r>
          <rPr>
            <sz val="8"/>
            <color indexed="81"/>
            <rFont val="Tahoma"/>
            <family val="2"/>
          </rPr>
          <t xml:space="preserve">Beregnes som årets resultat minus personfradrag og ratepension gange skatteprocent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LR</author>
  </authors>
  <commentList>
    <comment ref="G26" authorId="0" shapeId="0" xr:uid="{00000000-0006-0000-0400-000001000000}">
      <text>
        <r>
          <rPr>
            <b/>
            <sz val="8"/>
            <color indexed="81"/>
            <rFont val="Tahoma"/>
            <family val="2"/>
          </rPr>
          <t>LR:</t>
        </r>
        <r>
          <rPr>
            <sz val="8"/>
            <color indexed="81"/>
            <rFont val="Tahoma"/>
            <family val="2"/>
          </rPr>
          <t xml:space="preserve">
#I/T betyder mere end 20 års tilbagebetalingstid.</t>
        </r>
      </text>
    </comment>
  </commentList>
</comments>
</file>

<file path=xl/sharedStrings.xml><?xml version="1.0" encoding="utf-8"?>
<sst xmlns="http://schemas.openxmlformats.org/spreadsheetml/2006/main" count="411" uniqueCount="297">
  <si>
    <t>side 1</t>
  </si>
  <si>
    <t>Navn</t>
  </si>
  <si>
    <t>Adresse</t>
  </si>
  <si>
    <t>By</t>
  </si>
  <si>
    <t>Telefon</t>
  </si>
  <si>
    <t>Investeringsår</t>
  </si>
  <si>
    <t>Årskøer</t>
  </si>
  <si>
    <t>stk.</t>
  </si>
  <si>
    <t>Slagtekalve</t>
  </si>
  <si>
    <t>Køb af jord, ha</t>
  </si>
  <si>
    <t>ha</t>
  </si>
  <si>
    <t xml:space="preserve"> - - - 1.000 kr. - - - -</t>
  </si>
  <si>
    <t>Beløb, INVESTERING</t>
  </si>
  <si>
    <t>Egne tal</t>
  </si>
  <si>
    <t>Norm</t>
  </si>
  <si>
    <t>Jord</t>
  </si>
  <si>
    <t>Indgår ikke i lønsomhed</t>
  </si>
  <si>
    <t>Bygninger</t>
  </si>
  <si>
    <t>Inventar</t>
  </si>
  <si>
    <t>Besætning</t>
  </si>
  <si>
    <t>Indkøringstab</t>
  </si>
  <si>
    <t>Låneomkost.</t>
  </si>
  <si>
    <t>Samlet investering</t>
  </si>
  <si>
    <t>1.000 kr.</t>
  </si>
  <si>
    <t>Løbetid, år</t>
  </si>
  <si>
    <t>Rente, pct</t>
  </si>
  <si>
    <t>Type</t>
  </si>
  <si>
    <t>Realkredit</t>
  </si>
  <si>
    <t>Samlet finansiering</t>
  </si>
  <si>
    <t>Rest til kassekredit</t>
  </si>
  <si>
    <t>side 2</t>
  </si>
  <si>
    <t>Dækningsbidrag, mark</t>
  </si>
  <si>
    <t>kr. pr. ha incl. tilskud</t>
  </si>
  <si>
    <t>Diverse indtægter</t>
  </si>
  <si>
    <t>Energi</t>
  </si>
  <si>
    <t>Maskinstation</t>
  </si>
  <si>
    <t>Vedligehold</t>
  </si>
  <si>
    <t>Løn</t>
  </si>
  <si>
    <t>Ejend.skat og forsikringer</t>
  </si>
  <si>
    <t>Diverse kapct. omkost.</t>
  </si>
  <si>
    <t>Afskrivninger</t>
  </si>
  <si>
    <t>Finansiering</t>
  </si>
  <si>
    <t>Anden indtjening</t>
  </si>
  <si>
    <t>Privatøkonomi</t>
  </si>
  <si>
    <t>Investeringer, normalt år</t>
  </si>
  <si>
    <t>Afdrag</t>
  </si>
  <si>
    <t>Kassekredit, primo</t>
  </si>
  <si>
    <t>Plus evt. indstående til egenfinansiering</t>
  </si>
  <si>
    <t>Evt. betalt skat</t>
  </si>
  <si>
    <t>Korrektioner</t>
  </si>
  <si>
    <t>Kr. pr. årsko</t>
  </si>
  <si>
    <t>DB pr. årsko, Nudrift</t>
  </si>
  <si>
    <t>Norm DB Nudrift</t>
  </si>
  <si>
    <t>DB pr. årsko, Alternativ</t>
  </si>
  <si>
    <t>Norm DB Alternativ</t>
  </si>
  <si>
    <t>Skift af staldsystem</t>
  </si>
  <si>
    <t>DB Nyt staldsystem  År 1</t>
  </si>
  <si>
    <t>Besætningsudvidelse, År 1</t>
  </si>
  <si>
    <t>DB Udvidelse År 1</t>
  </si>
  <si>
    <t>Besætningsudvidelse, År 2</t>
  </si>
  <si>
    <t>DB Udvidelse År 2</t>
  </si>
  <si>
    <t>DB pr. slagtekalv</t>
  </si>
  <si>
    <t>Beregnet DB år 1</t>
  </si>
  <si>
    <t>Kg EKM pr. årsko</t>
  </si>
  <si>
    <t>kg. pr. årsko</t>
  </si>
  <si>
    <t>Levetid, Bygninger</t>
  </si>
  <si>
    <t>Levetid, Inventar</t>
  </si>
  <si>
    <t>DB pr. ha, tilkøbt jord</t>
  </si>
  <si>
    <t>kr. pr. ha</t>
  </si>
  <si>
    <t>incl. støtte</t>
  </si>
  <si>
    <t>Lønninger, efter invest.</t>
  </si>
  <si>
    <t xml:space="preserve">1.000 kr. </t>
  </si>
  <si>
    <t>Nye maskiner til jordkøb ?</t>
  </si>
  <si>
    <t>Nej</t>
  </si>
  <si>
    <t>Ja  / nej</t>
  </si>
  <si>
    <t>Resultater, køer</t>
  </si>
  <si>
    <t>Investeringer, køer</t>
  </si>
  <si>
    <t>kr. pr. årsko</t>
  </si>
  <si>
    <t>DB pr. årsko, normalt, kr.</t>
  </si>
  <si>
    <t>pct.</t>
  </si>
  <si>
    <t>Bygninger køer incl. gylle</t>
  </si>
  <si>
    <t>DB pr. årsko, 1. år</t>
  </si>
  <si>
    <t>Besætning køer</t>
  </si>
  <si>
    <t>kg</t>
  </si>
  <si>
    <t>Arbejdsforbrug pr. årsko</t>
  </si>
  <si>
    <t>timer</t>
  </si>
  <si>
    <t>Krav til reinvestering</t>
  </si>
  <si>
    <t>Arbejdsomkst. pr. årsko</t>
  </si>
  <si>
    <t>kr.</t>
  </si>
  <si>
    <t>Energi pr. årsko</t>
  </si>
  <si>
    <t>Vedligehold pr. årsko</t>
  </si>
  <si>
    <t>Andre kapactomkst. pr. årsko</t>
  </si>
  <si>
    <t>Resultater, sl-kalv</t>
  </si>
  <si>
    <t>Investeringer, sl-kalv</t>
  </si>
  <si>
    <t>kr. pr. kalv</t>
  </si>
  <si>
    <t>DB pr. slagtekalv, normalt kr.</t>
  </si>
  <si>
    <t>Bygninger slagtekalv</t>
  </si>
  <si>
    <t>DB pr. slagtekalv  1. år</t>
  </si>
  <si>
    <t>Inventar slagtekalv</t>
  </si>
  <si>
    <t>Arbejdsforbrug pr. slagtekalv</t>
  </si>
  <si>
    <t>Besætning slagtekalv</t>
  </si>
  <si>
    <t>Arbejdsomkst. pr. slagtekalv</t>
  </si>
  <si>
    <t>Energi pr. slagtekalv</t>
  </si>
  <si>
    <t/>
  </si>
  <si>
    <t>Vedligehold pr. slagtekalv</t>
  </si>
  <si>
    <t>Andre kapactomkst. pr. slagtekalv</t>
  </si>
  <si>
    <t>Resultater, mark</t>
  </si>
  <si>
    <t>Investeringer, mark</t>
  </si>
  <si>
    <t>Levetid, år</t>
  </si>
  <si>
    <t>DB pr. ha, normal udsving</t>
  </si>
  <si>
    <t>Kr. pr. ha</t>
  </si>
  <si>
    <t>Bygninger mark</t>
  </si>
  <si>
    <t>Arbejdsforbrug</t>
  </si>
  <si>
    <t>timer pr. ha</t>
  </si>
  <si>
    <t>Maskiner</t>
  </si>
  <si>
    <t xml:space="preserve">Arbejdsomkost. </t>
  </si>
  <si>
    <t>Mejetærsker</t>
  </si>
  <si>
    <t xml:space="preserve">Energi </t>
  </si>
  <si>
    <t>Krav til reinvestering, 1½ levetid</t>
  </si>
  <si>
    <t>Købspris, jord</t>
  </si>
  <si>
    <t xml:space="preserve">Andre kapactomkst. </t>
  </si>
  <si>
    <t>Pasningsaftale</t>
  </si>
  <si>
    <t>Andre normtal</t>
  </si>
  <si>
    <t>Driftsmæssig afskriv. bygninger</t>
  </si>
  <si>
    <t>Driftsmæssig afskriv. inventar</t>
  </si>
  <si>
    <t>Pct. lønstigning, 3_aarsbudget</t>
  </si>
  <si>
    <t>Levetid bygninger</t>
  </si>
  <si>
    <t>år</t>
  </si>
  <si>
    <t>Pct. årlig mindre rente/afdrag</t>
  </si>
  <si>
    <t>Levetid inventar</t>
  </si>
  <si>
    <t>Afskrivningspct.,  bygninger</t>
  </si>
  <si>
    <t>Pct. vedligehold, bygninger</t>
  </si>
  <si>
    <t>Afskrivning, inventar</t>
  </si>
  <si>
    <t>Pct. vedligehold, inventar</t>
  </si>
  <si>
    <t>Nedskrivning, besætning</t>
  </si>
  <si>
    <t>Timeløn</t>
  </si>
  <si>
    <t>kr. pr. time</t>
  </si>
  <si>
    <t>Slagtekalve, prod. pr. plads</t>
  </si>
  <si>
    <t>Kalkulationsrente</t>
  </si>
  <si>
    <t>Låneomkostninger, pct. af invest.</t>
  </si>
  <si>
    <t>Inflation</t>
  </si>
  <si>
    <t>Resultater</t>
  </si>
  <si>
    <t>Beskrivelse af investeringen</t>
  </si>
  <si>
    <t>kr. i alt</t>
  </si>
  <si>
    <t>Bygninger incl. gylle</t>
  </si>
  <si>
    <t>Indkøringstab &amp; låneomkst.</t>
  </si>
  <si>
    <t>Harmonikrav</t>
  </si>
  <si>
    <t>Nuværende</t>
  </si>
  <si>
    <t>Investeringen</t>
  </si>
  <si>
    <t>I alt</t>
  </si>
  <si>
    <t>Antal DE, stk</t>
  </si>
  <si>
    <t>Beregnet harmonikrav, ha</t>
  </si>
  <si>
    <t>Antal normtimer</t>
  </si>
  <si>
    <t>Antal arbejdspladser (1.800 timer)</t>
  </si>
  <si>
    <t>Lønsomhed investering uden jord</t>
  </si>
  <si>
    <t xml:space="preserve">              - - - - - - - - Reale beløb - - - - - - - </t>
  </si>
  <si>
    <t>uden skat</t>
  </si>
  <si>
    <t xml:space="preserve"> kr. I alt</t>
  </si>
  <si>
    <t>Realrente</t>
  </si>
  <si>
    <t xml:space="preserve"> - - - - - - - - - -  kr.  - - - - - - - - - - -  - -</t>
  </si>
  <si>
    <t>Dækningsbidrag</t>
  </si>
  <si>
    <t>Kapacitetsomkst</t>
  </si>
  <si>
    <t>Forrent. &amp; afskriv</t>
  </si>
  <si>
    <t>Resultat</t>
  </si>
  <si>
    <t>*) Eventuelt realstigning på løn og vedligehold, hvis indberettet</t>
  </si>
  <si>
    <t>Følsomhed uden jord</t>
  </si>
  <si>
    <t>Udgangspunkt</t>
  </si>
  <si>
    <t>Ændring</t>
  </si>
  <si>
    <t>Investeret beløb</t>
  </si>
  <si>
    <t>Levetid år, bygninger / inventar</t>
  </si>
  <si>
    <t xml:space="preserve">     6 / 3</t>
  </si>
  <si>
    <t>Resultat &amp; Likviditet</t>
  </si>
  <si>
    <t>Omfang</t>
  </si>
  <si>
    <t>Nudrift</t>
  </si>
  <si>
    <t>+</t>
  </si>
  <si>
    <t>Invest.</t>
  </si>
  <si>
    <t>=</t>
  </si>
  <si>
    <t>Første år</t>
  </si>
  <si>
    <t>Normalt år</t>
  </si>
  <si>
    <t>Årskøer, stk</t>
  </si>
  <si>
    <t>DB pr. årsko, kr.</t>
  </si>
  <si>
    <t>Slagtekalve,stk.</t>
  </si>
  <si>
    <t>DB pr. slagtekalv, kr.</t>
  </si>
  <si>
    <t>Areal, ha</t>
  </si>
  <si>
    <t>DB pr. ha incl. ha.støtte</t>
  </si>
  <si>
    <t>----------- beløb i hele 1.000 kr. -------------</t>
  </si>
  <si>
    <t>DB-Kvæg</t>
  </si>
  <si>
    <t>DB-Mark incl. støtte</t>
  </si>
  <si>
    <t>Dækningsbidrag- ialt</t>
  </si>
  <si>
    <t>Energi &amp; Maskinstation</t>
  </si>
  <si>
    <t>Lønninger</t>
  </si>
  <si>
    <t>Andre kapct. omkst.</t>
  </si>
  <si>
    <t>Kontante kapacitetsomkost.</t>
  </si>
  <si>
    <t>Årets resultat før skat</t>
  </si>
  <si>
    <t>Beregnet skat af årets resultat</t>
  </si>
  <si>
    <t>Udtræk til privat</t>
  </si>
  <si>
    <t>Hensættelse til konsolidering</t>
  </si>
  <si>
    <t>Likviditet</t>
  </si>
  <si>
    <t>Til investeringer og afdrag</t>
  </si>
  <si>
    <t>Investeringer</t>
  </si>
  <si>
    <t>Afdrag / Finansiering</t>
  </si>
  <si>
    <t>Ændring af likviditet</t>
  </si>
  <si>
    <t>Akkummuleret</t>
  </si>
  <si>
    <t>kk primo</t>
  </si>
  <si>
    <t>kk ultimo</t>
  </si>
  <si>
    <t>Følsomhed</t>
  </si>
  <si>
    <t>ændring</t>
  </si>
  <si>
    <t>1.000 kr. pr. år</t>
  </si>
  <si>
    <t>Kr. pr. kg. mælk</t>
  </si>
  <si>
    <t>Kg. ydelse pr. årsko</t>
  </si>
  <si>
    <t>Kg.</t>
  </si>
  <si>
    <t>Fodereffektivitet</t>
  </si>
  <si>
    <t>Foderpris, FE</t>
  </si>
  <si>
    <t>øre</t>
  </si>
  <si>
    <t>3 års oversigt</t>
  </si>
  <si>
    <t>Slagtekalve, stk.</t>
  </si>
  <si>
    <t xml:space="preserve">Resultat </t>
  </si>
  <si>
    <t>Energi &amp; maskinstation</t>
  </si>
  <si>
    <t>Ydelse pr. årsko</t>
  </si>
  <si>
    <t>Foderpris, FE malkekøer</t>
  </si>
  <si>
    <t>Investering</t>
  </si>
  <si>
    <t>Forrentning</t>
  </si>
  <si>
    <t xml:space="preserve"> - -  - - - - - - - - - årlig pct. af investeret beløb - - - - - - - - - - </t>
  </si>
  <si>
    <t>Invest. 1.000 kr.</t>
  </si>
  <si>
    <t>Levetid år</t>
  </si>
  <si>
    <t>Afskriv pct.</t>
  </si>
  <si>
    <t>Gennem-snit</t>
  </si>
  <si>
    <t>Invest. beløb</t>
  </si>
  <si>
    <t>Levetid</t>
  </si>
  <si>
    <t>Rente</t>
  </si>
  <si>
    <t xml:space="preserve"> - - - - -  Følsomhed - - - - - - </t>
  </si>
  <si>
    <t>Mindre DB</t>
  </si>
  <si>
    <t>Større omkst.</t>
  </si>
  <si>
    <t>I alt, 1.000 kr.</t>
  </si>
  <si>
    <t>Finansiering i alt</t>
  </si>
  <si>
    <t>Renter og afdrag</t>
  </si>
  <si>
    <t>1. år</t>
  </si>
  <si>
    <t>2. år</t>
  </si>
  <si>
    <t>3. år</t>
  </si>
  <si>
    <t>4. år</t>
  </si>
  <si>
    <t>Sum</t>
  </si>
  <si>
    <t>Pay Back</t>
  </si>
  <si>
    <t>Investeringsbeløb</t>
  </si>
  <si>
    <t>Nettobetaling</t>
  </si>
  <si>
    <t>År</t>
  </si>
  <si>
    <t>Indbetaling</t>
  </si>
  <si>
    <t>Saldo</t>
  </si>
  <si>
    <t>Pay Back, år</t>
  </si>
  <si>
    <t>Bank</t>
  </si>
  <si>
    <t>a</t>
  </si>
  <si>
    <t>side 3</t>
  </si>
  <si>
    <t>DB pr. årsko, 2. år</t>
  </si>
  <si>
    <t>st</t>
  </si>
  <si>
    <t>Investeringsberegning kvæg</t>
  </si>
  <si>
    <t>Gule celler er input celle. Indsæt ikke egne rækker etc. I dette regneark</t>
  </si>
  <si>
    <t>XX</t>
  </si>
  <si>
    <t>Antal årskøer, stk</t>
  </si>
  <si>
    <t>Slagtekalve, stk</t>
  </si>
  <si>
    <t>Eksempel på normværdier</t>
  </si>
  <si>
    <t>Tilbagebetalingstid / Pay-back, år</t>
  </si>
  <si>
    <t>Finansiering - oversigt</t>
  </si>
  <si>
    <t>Investering- beregninger oversigt</t>
  </si>
  <si>
    <t>Andet 1</t>
  </si>
  <si>
    <t>Andet 2</t>
  </si>
  <si>
    <t>Normværdier</t>
  </si>
  <si>
    <t>side 4</t>
  </si>
  <si>
    <t>Se side 3</t>
  </si>
  <si>
    <t>INVESTERING, omfang</t>
  </si>
  <si>
    <t>INVESTERING, finansiering</t>
  </si>
  <si>
    <t>Budget- nuværende</t>
  </si>
  <si>
    <t>Forskel</t>
  </si>
  <si>
    <t>Småinventar, pct.</t>
  </si>
  <si>
    <t>Strakfradrag, bygninger, pct.</t>
  </si>
  <si>
    <t>Kalkulationsrente, pct.</t>
  </si>
  <si>
    <t>Inflation, pct.</t>
  </si>
  <si>
    <t>Realstigning løn og kapct. omkst. Pct.</t>
  </si>
  <si>
    <t>Se følsomhed under investeringer</t>
  </si>
  <si>
    <t>Husk fortegn</t>
  </si>
  <si>
    <t>i 1000 kr</t>
  </si>
  <si>
    <t>Anden indtjening (+)</t>
  </si>
  <si>
    <t>1.000 kr. 
pr. år</t>
  </si>
  <si>
    <t>Indkøringstab, 
pct.</t>
  </si>
  <si>
    <t>Inventar inkl kælvkøer</t>
  </si>
  <si>
    <t>Udgiver:</t>
  </si>
  <si>
    <t>SEGES Innovation P/S</t>
  </si>
  <si>
    <t>Udgivelsesdato:</t>
  </si>
  <si>
    <t>Forfatter:</t>
  </si>
  <si>
    <t>Version:</t>
  </si>
  <si>
    <t>1.0</t>
  </si>
  <si>
    <t>Datagrundlag og opdateringsfrekvens:</t>
  </si>
  <si>
    <t>Opdateres ikke</t>
  </si>
  <si>
    <t>Dokument:</t>
  </si>
  <si>
    <t>Ansvar:</t>
  </si>
  <si>
    <t>Se vilkår</t>
  </si>
  <si>
    <t>Regneark vedr. udvidelse af kvægbesætning</t>
  </si>
  <si>
    <t>Karen Jørgensen</t>
  </si>
  <si>
    <t>Sådan bruge du investeringsoversigten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</si>
</sst>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kr.&quot;;[Red]\-#,##0\ &quot;kr.&quot;"/>
    <numFmt numFmtId="164" formatCode="0.0%"/>
    <numFmt numFmtId="165" formatCode="#,##0.0"/>
    <numFmt numFmtId="166" formatCode="0.0"/>
  </numFmts>
  <fonts count="53" x14ac:knownFonts="1">
    <font>
      <sz val="10"/>
      <name val="Arial"/>
    </font>
    <font>
      <sz val="8"/>
      <name val="Arial"/>
      <family val="2"/>
    </font>
    <font>
      <sz val="8"/>
      <color indexed="81"/>
      <name val="Tahoma"/>
      <family val="2"/>
    </font>
    <font>
      <b/>
      <sz val="8"/>
      <color indexed="81"/>
      <name val="Tahoma"/>
      <family val="2"/>
    </font>
    <font>
      <b/>
      <sz val="16"/>
      <color indexed="81"/>
      <name val="Tahoma"/>
      <family val="2"/>
    </font>
    <font>
      <sz val="10"/>
      <name val="Arial"/>
      <family val="2"/>
    </font>
    <font>
      <sz val="12"/>
      <name val="Calibri"/>
      <family val="2"/>
    </font>
    <font>
      <sz val="10"/>
      <name val="Calibri"/>
      <family val="2"/>
    </font>
    <font>
      <b/>
      <sz val="14"/>
      <name val="Calibri"/>
      <family val="2"/>
    </font>
    <font>
      <b/>
      <sz val="12"/>
      <name val="Calibri"/>
      <family val="2"/>
    </font>
    <font>
      <sz val="8"/>
      <name val="Calibri"/>
      <family val="2"/>
    </font>
    <font>
      <sz val="14"/>
      <name val="Calibri"/>
      <family val="2"/>
    </font>
    <font>
      <sz val="11"/>
      <name val="Calibri"/>
      <family val="2"/>
    </font>
    <font>
      <b/>
      <sz val="11"/>
      <name val="Calibri"/>
      <family val="2"/>
    </font>
    <font>
      <b/>
      <i/>
      <sz val="16"/>
      <name val="Calibri"/>
      <family val="2"/>
    </font>
    <font>
      <b/>
      <i/>
      <sz val="30"/>
      <name val="Calibri"/>
      <family val="2"/>
    </font>
    <font>
      <sz val="10"/>
      <color theme="0"/>
      <name val="Calibri"/>
      <family val="2"/>
    </font>
    <font>
      <sz val="10"/>
      <color indexed="33"/>
      <name val="Calibri"/>
      <family val="2"/>
    </font>
    <font>
      <b/>
      <sz val="10"/>
      <name val="Calibri"/>
      <family val="2"/>
    </font>
    <font>
      <sz val="18"/>
      <color theme="0"/>
      <name val="Calibri"/>
      <family val="2"/>
    </font>
    <font>
      <b/>
      <sz val="16"/>
      <name val="Calibri"/>
      <family val="2"/>
    </font>
    <font>
      <b/>
      <i/>
      <sz val="12"/>
      <name val="Calibri"/>
      <family val="2"/>
    </font>
    <font>
      <i/>
      <sz val="10"/>
      <name val="Calibri"/>
      <family val="2"/>
    </font>
    <font>
      <b/>
      <sz val="20"/>
      <name val="Calibri"/>
      <family val="2"/>
    </font>
    <font>
      <b/>
      <i/>
      <sz val="10"/>
      <name val="Calibri"/>
      <family val="2"/>
    </font>
    <font>
      <sz val="6"/>
      <name val="Calibri"/>
      <family val="2"/>
    </font>
    <font>
      <b/>
      <i/>
      <sz val="11"/>
      <name val="Calibri"/>
      <family val="2"/>
    </font>
    <font>
      <i/>
      <sz val="11"/>
      <name val="Calibri"/>
      <family val="2"/>
    </font>
    <font>
      <sz val="11"/>
      <name val="Calibri"/>
      <family val="2"/>
      <scheme val="minor"/>
    </font>
    <font>
      <b/>
      <i/>
      <sz val="11"/>
      <name val="Calibri"/>
      <family val="2"/>
      <scheme val="minor"/>
    </font>
    <font>
      <b/>
      <sz val="11"/>
      <name val="Calibri"/>
      <family val="2"/>
      <scheme val="minor"/>
    </font>
    <font>
      <i/>
      <sz val="11"/>
      <name val="Calibri"/>
      <family val="2"/>
      <scheme val="minor"/>
    </font>
    <font>
      <b/>
      <sz val="18"/>
      <color theme="0"/>
      <name val="Calibri"/>
      <family val="2"/>
      <scheme val="minor"/>
    </font>
    <font>
      <b/>
      <sz val="18"/>
      <color theme="0"/>
      <name val="Calibri"/>
      <family val="2"/>
    </font>
    <font>
      <sz val="11"/>
      <color rgb="FFFF0000"/>
      <name val="Calibri"/>
      <family val="2"/>
      <scheme val="minor"/>
    </font>
    <font>
      <b/>
      <sz val="11"/>
      <color rgb="FFFF0000"/>
      <name val="Calibri"/>
      <family val="2"/>
    </font>
    <font>
      <sz val="11"/>
      <color rgb="FFFF0000"/>
      <name val="Calibri"/>
      <family val="2"/>
    </font>
    <font>
      <sz val="10"/>
      <color rgb="FFFF0000"/>
      <name val="Calibri"/>
      <family val="2"/>
    </font>
    <font>
      <sz val="11"/>
      <color theme="0"/>
      <name val="Calibri"/>
      <family val="2"/>
      <scheme val="minor"/>
    </font>
    <font>
      <i/>
      <sz val="9"/>
      <color theme="0"/>
      <name val="Calibri"/>
      <family val="2"/>
    </font>
    <font>
      <sz val="9"/>
      <color theme="0"/>
      <name val="Calibri"/>
      <family val="2"/>
    </font>
    <font>
      <sz val="11"/>
      <color theme="0"/>
      <name val="Calibri"/>
      <family val="2"/>
    </font>
    <font>
      <sz val="12"/>
      <color theme="0"/>
      <name val="Calibri"/>
      <family val="2"/>
    </font>
    <font>
      <b/>
      <i/>
      <sz val="16"/>
      <color theme="0"/>
      <name val="Calibri"/>
      <family val="2"/>
    </font>
    <font>
      <b/>
      <sz val="14"/>
      <color theme="0"/>
      <name val="Calibri"/>
      <family val="2"/>
    </font>
    <font>
      <sz val="14"/>
      <color theme="0"/>
      <name val="Calibri"/>
      <family val="2"/>
    </font>
    <font>
      <b/>
      <sz val="14"/>
      <color theme="0"/>
      <name val="Calibri"/>
      <family val="2"/>
      <scheme val="minor"/>
    </font>
    <font>
      <b/>
      <sz val="11"/>
      <color theme="0"/>
      <name val="Calibri"/>
      <family val="2"/>
    </font>
    <font>
      <b/>
      <sz val="9"/>
      <name val="Calibri"/>
      <family val="2"/>
    </font>
    <font>
      <sz val="9"/>
      <color indexed="81"/>
      <name val="Tahoma"/>
      <family val="2"/>
    </font>
    <font>
      <b/>
      <sz val="9"/>
      <color indexed="81"/>
      <name val="Tahoma"/>
      <family val="2"/>
    </font>
    <font>
      <u/>
      <sz val="10"/>
      <color theme="10"/>
      <name val="Arial"/>
      <family val="2"/>
    </font>
    <font>
      <b/>
      <sz val="11"/>
      <color theme="1"/>
      <name val="Calibri"/>
      <family val="2"/>
      <scheme val="minor"/>
    </font>
  </fonts>
  <fills count="16">
    <fill>
      <patternFill patternType="none"/>
    </fill>
    <fill>
      <patternFill patternType="gray125"/>
    </fill>
    <fill>
      <patternFill patternType="solid">
        <fgColor indexed="9"/>
        <bgColor indexed="8"/>
      </patternFill>
    </fill>
    <fill>
      <patternFill patternType="solid">
        <fgColor theme="0" tint="-0.14999847407452621"/>
        <bgColor indexed="65"/>
      </patternFill>
    </fill>
    <fill>
      <patternFill patternType="solid">
        <fgColor rgb="FF6EAF89"/>
      </patternFill>
    </fill>
    <fill>
      <patternFill patternType="solid">
        <fgColor rgb="FF6EAF89"/>
        <bgColor indexed="9"/>
      </patternFill>
    </fill>
    <fill>
      <patternFill patternType="solid">
        <fgColor rgb="FF6EAF89"/>
        <bgColor indexed="64"/>
      </patternFill>
    </fill>
    <fill>
      <patternFill patternType="solid">
        <fgColor rgb="FF6EAF89"/>
        <bgColor indexed="22"/>
      </patternFill>
    </fill>
    <fill>
      <patternFill patternType="solid">
        <fgColor rgb="FFFFFF99"/>
        <bgColor indexed="64"/>
      </patternFill>
    </fill>
    <fill>
      <patternFill patternType="solid">
        <fgColor rgb="FFFFFF99"/>
      </patternFill>
    </fill>
    <fill>
      <patternFill patternType="solid">
        <fgColor rgb="FFFFFF99"/>
        <bgColor indexed="9"/>
      </patternFill>
    </fill>
    <fill>
      <patternFill patternType="solid">
        <fgColor rgb="FFFFFF99"/>
        <bgColor indexed="8"/>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59999389629810485"/>
        <bgColor indexed="8"/>
      </patternFill>
    </fill>
    <fill>
      <patternFill patternType="solid">
        <fgColor rgb="FFC8C7B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top"/>
    </xf>
    <xf numFmtId="3" fontId="5" fillId="0" borderId="0" applyFont="0" applyFill="0" applyBorder="0" applyAlignment="0" applyProtection="0"/>
    <xf numFmtId="3" fontId="5" fillId="0" borderId="0" applyFont="0" applyFill="0" applyBorder="0" applyAlignment="0" applyProtection="0"/>
    <xf numFmtId="9" fontId="5" fillId="0" borderId="0" applyFont="0" applyFill="0" applyBorder="0" applyAlignment="0" applyProtection="0"/>
    <xf numFmtId="3" fontId="5" fillId="0" borderId="0" applyFont="0" applyFill="0" applyBorder="0" applyAlignment="0" applyProtection="0"/>
    <xf numFmtId="0" fontId="51" fillId="0" borderId="0" applyNumberFormat="0" applyFill="0" applyBorder="0" applyAlignment="0" applyProtection="0">
      <alignment vertical="top"/>
    </xf>
  </cellStyleXfs>
  <cellXfs count="424">
    <xf numFmtId="0" fontId="0" fillId="0" borderId="0" xfId="0" applyAlignment="1"/>
    <xf numFmtId="0" fontId="7" fillId="0" borderId="0" xfId="0" applyFont="1" applyBorder="1" applyAlignment="1" applyProtection="1">
      <alignment vertical="center"/>
    </xf>
    <xf numFmtId="0" fontId="7" fillId="0" borderId="0" xfId="0" applyFont="1" applyBorder="1" applyAlignment="1" applyProtection="1"/>
    <xf numFmtId="0" fontId="7" fillId="0" borderId="0" xfId="0" applyFont="1" applyFill="1" applyBorder="1" applyAlignment="1" applyProtection="1">
      <alignment vertical="center"/>
    </xf>
    <xf numFmtId="0" fontId="7" fillId="0" borderId="0" xfId="0" applyFont="1" applyFill="1" applyBorder="1" applyAlignment="1" applyProtection="1"/>
    <xf numFmtId="3" fontId="9" fillId="0" borderId="0" xfId="0" applyNumberFormat="1" applyFont="1" applyFill="1" applyBorder="1" applyAlignment="1" applyProtection="1"/>
    <xf numFmtId="0" fontId="10" fillId="0" borderId="0" xfId="0" applyFont="1" applyBorder="1" applyAlignment="1" applyProtection="1"/>
    <xf numFmtId="0" fontId="9" fillId="0" borderId="0" xfId="0" applyFont="1" applyBorder="1" applyAlignment="1" applyProtection="1"/>
    <xf numFmtId="0" fontId="12" fillId="0" borderId="0" xfId="0" applyFont="1" applyFill="1" applyBorder="1" applyAlignment="1" applyProtection="1">
      <alignment vertical="center"/>
    </xf>
    <xf numFmtId="0" fontId="12" fillId="0" borderId="0" xfId="0" applyFont="1" applyBorder="1" applyAlignment="1" applyProtection="1">
      <alignment vertical="center"/>
    </xf>
    <xf numFmtId="0" fontId="12" fillId="0" borderId="0" xfId="0" applyFont="1" applyBorder="1" applyAlignment="1" applyProtection="1">
      <alignment horizontal="center" vertical="center"/>
    </xf>
    <xf numFmtId="0" fontId="12" fillId="0" borderId="0" xfId="0" applyFont="1" applyBorder="1" applyAlignment="1" applyProtection="1"/>
    <xf numFmtId="0" fontId="12" fillId="0" borderId="0" xfId="0" applyFont="1" applyFill="1" applyBorder="1" applyAlignment="1" applyProtection="1"/>
    <xf numFmtId="0" fontId="12" fillId="2" borderId="0" xfId="0" applyFont="1" applyFill="1" applyBorder="1" applyAlignment="1" applyProtection="1">
      <alignment vertical="center"/>
    </xf>
    <xf numFmtId="3" fontId="13" fillId="0" borderId="0" xfId="0" applyNumberFormat="1" applyFont="1" applyFill="1" applyBorder="1" applyAlignment="1" applyProtection="1"/>
    <xf numFmtId="0" fontId="13" fillId="0" borderId="0" xfId="0" applyFont="1" applyBorder="1" applyAlignment="1" applyProtection="1">
      <alignment horizontal="center"/>
    </xf>
    <xf numFmtId="0" fontId="12" fillId="0" borderId="0" xfId="0" applyFont="1" applyBorder="1" applyAlignment="1" applyProtection="1">
      <alignment horizontal="right"/>
    </xf>
    <xf numFmtId="3" fontId="12" fillId="0" borderId="0" xfId="2" applyFont="1" applyFill="1" applyBorder="1" applyAlignment="1" applyProtection="1"/>
    <xf numFmtId="0" fontId="13" fillId="0" borderId="0" xfId="0" applyFont="1" applyBorder="1" applyAlignment="1" applyProtection="1"/>
    <xf numFmtId="9" fontId="12" fillId="0" borderId="0" xfId="0" applyNumberFormat="1" applyFont="1" applyFill="1" applyBorder="1" applyAlignment="1" applyProtection="1">
      <alignment horizontal="center" vertical="center"/>
    </xf>
    <xf numFmtId="3" fontId="12" fillId="0" borderId="0" xfId="2" applyFont="1" applyFill="1" applyBorder="1" applyAlignment="1" applyProtection="1">
      <alignment vertical="center"/>
    </xf>
    <xf numFmtId="0" fontId="7" fillId="0" borderId="0" xfId="0" applyFont="1" applyBorder="1" applyAlignment="1" applyProtection="1">
      <protection locked="0"/>
    </xf>
    <xf numFmtId="0" fontId="6" fillId="0" borderId="0" xfId="0" applyFont="1" applyFill="1" applyBorder="1" applyAlignment="1" applyProtection="1"/>
    <xf numFmtId="0" fontId="6" fillId="0" borderId="0" xfId="0" applyFont="1" applyBorder="1" applyAlignment="1" applyProtection="1"/>
    <xf numFmtId="0" fontId="7" fillId="0" borderId="0" xfId="0" applyFont="1" applyBorder="1" applyAlignment="1" applyProtection="1">
      <alignment horizontal="center"/>
    </xf>
    <xf numFmtId="0" fontId="7" fillId="0" borderId="0" xfId="0" applyFont="1" applyFill="1" applyBorder="1" applyAlignment="1" applyProtection="1">
      <alignment horizontal="center"/>
    </xf>
    <xf numFmtId="0" fontId="12" fillId="0" borderId="0" xfId="0" applyFont="1" applyBorder="1" applyAlignment="1" applyProtection="1">
      <alignment horizontal="center"/>
    </xf>
    <xf numFmtId="0" fontId="12" fillId="0" borderId="0" xfId="0" applyFont="1" applyFill="1" applyBorder="1" applyAlignment="1" applyProtection="1">
      <alignment horizontal="center"/>
    </xf>
    <xf numFmtId="0" fontId="14" fillId="0" borderId="0" xfId="0" applyFont="1" applyBorder="1" applyAlignment="1" applyProtection="1">
      <alignment horizontal="centerContinuous" vertical="center"/>
    </xf>
    <xf numFmtId="0" fontId="7" fillId="0" borderId="0" xfId="0" applyFont="1" applyAlignment="1" applyProtection="1">
      <alignment horizontal="center"/>
    </xf>
    <xf numFmtId="0" fontId="7" fillId="0" borderId="0" xfId="0" applyFont="1" applyAlignment="1" applyProtection="1">
      <protection locked="0"/>
    </xf>
    <xf numFmtId="0" fontId="15" fillId="0" borderId="0" xfId="0" applyFont="1" applyBorder="1" applyAlignment="1" applyProtection="1">
      <alignment vertical="center"/>
      <protection locked="0"/>
    </xf>
    <xf numFmtId="0" fontId="7" fillId="0" borderId="0" xfId="0" applyFont="1" applyAlignment="1" applyProtection="1">
      <alignment horizontal="centerContinuous" vertical="center"/>
    </xf>
    <xf numFmtId="0" fontId="7" fillId="0" borderId="0" xfId="0" applyFont="1" applyAlignment="1" applyProtection="1">
      <alignment vertical="center"/>
    </xf>
    <xf numFmtId="0" fontId="7" fillId="0" borderId="0" xfId="0" applyFont="1" applyAlignment="1" applyProtection="1">
      <alignment vertical="center"/>
      <protection locked="0"/>
    </xf>
    <xf numFmtId="3" fontId="6" fillId="0" borderId="0" xfId="0" applyNumberFormat="1" applyFont="1" applyFill="1" applyBorder="1" applyAlignment="1" applyProtection="1"/>
    <xf numFmtId="3" fontId="6" fillId="0" borderId="0" xfId="0" applyNumberFormat="1" applyFont="1" applyBorder="1" applyAlignment="1" applyProtection="1"/>
    <xf numFmtId="0" fontId="16" fillId="0" borderId="0" xfId="0" applyFont="1" applyFill="1" applyBorder="1" applyAlignment="1" applyProtection="1"/>
    <xf numFmtId="0" fontId="17" fillId="2" borderId="0" xfId="0" applyFont="1" applyFill="1" applyBorder="1" applyAlignment="1" applyProtection="1"/>
    <xf numFmtId="0" fontId="7" fillId="0" borderId="0" xfId="0" applyFont="1" applyBorder="1" applyAlignment="1" applyProtection="1">
      <alignment vertical="center"/>
      <protection locked="0"/>
    </xf>
    <xf numFmtId="0" fontId="15" fillId="0" borderId="0" xfId="0" applyFont="1" applyBorder="1" applyAlignment="1" applyProtection="1">
      <alignment horizontal="centerContinuous" vertical="center"/>
      <protection locked="0"/>
    </xf>
    <xf numFmtId="0" fontId="10" fillId="0" borderId="0" xfId="0" applyFont="1" applyBorder="1" applyAlignment="1" applyProtection="1">
      <alignment horizontal="center"/>
    </xf>
    <xf numFmtId="0" fontId="10" fillId="0" borderId="0" xfId="0" applyFont="1" applyFill="1" applyBorder="1" applyAlignment="1" applyProtection="1">
      <alignment horizontal="center"/>
    </xf>
    <xf numFmtId="0" fontId="18" fillId="0" borderId="0" xfId="0" applyFont="1" applyFill="1" applyBorder="1" applyAlignment="1" applyProtection="1"/>
    <xf numFmtId="0" fontId="10" fillId="0" borderId="0" xfId="0" applyFont="1" applyFill="1" applyBorder="1" applyAlignment="1" applyProtection="1"/>
    <xf numFmtId="3" fontId="7" fillId="0" borderId="0" xfId="0" applyNumberFormat="1" applyFont="1" applyFill="1" applyBorder="1" applyAlignment="1" applyProtection="1">
      <alignment horizontal="center"/>
    </xf>
    <xf numFmtId="3" fontId="7" fillId="8" borderId="0" xfId="0" applyNumberFormat="1" applyFont="1" applyFill="1" applyBorder="1" applyAlignment="1" applyProtection="1">
      <alignment horizontal="center"/>
    </xf>
    <xf numFmtId="3" fontId="12" fillId="8" borderId="0" xfId="0" applyNumberFormat="1" applyFont="1" applyFill="1" applyBorder="1" applyAlignment="1" applyProtection="1">
      <alignment horizontal="center"/>
    </xf>
    <xf numFmtId="3" fontId="7" fillId="0" borderId="0" xfId="2" applyFont="1" applyFill="1" applyBorder="1" applyAlignment="1" applyProtection="1">
      <alignment horizontal="center"/>
    </xf>
    <xf numFmtId="165" fontId="7" fillId="0" borderId="0" xfId="0" applyNumberFormat="1" applyFont="1" applyBorder="1" applyAlignment="1" applyProtection="1"/>
    <xf numFmtId="3" fontId="12" fillId="0" borderId="0" xfId="0" applyNumberFormat="1" applyFont="1" applyFill="1" applyBorder="1" applyAlignment="1" applyProtection="1">
      <alignment horizontal="center"/>
    </xf>
    <xf numFmtId="3" fontId="7" fillId="0" borderId="0" xfId="0" applyNumberFormat="1" applyFont="1" applyBorder="1" applyAlignment="1" applyProtection="1"/>
    <xf numFmtId="0" fontId="6" fillId="2" borderId="0" xfId="0" applyFont="1" applyFill="1" applyBorder="1" applyAlignment="1" applyProtection="1">
      <alignment horizontal="center"/>
    </xf>
    <xf numFmtId="3" fontId="6" fillId="0" borderId="0" xfId="0" applyNumberFormat="1" applyFont="1" applyFill="1" applyBorder="1" applyAlignment="1" applyProtection="1">
      <alignment horizontal="center"/>
    </xf>
    <xf numFmtId="0" fontId="7" fillId="8" borderId="0" xfId="0" applyFont="1" applyFill="1" applyBorder="1" applyAlignment="1" applyProtection="1">
      <alignment horizontal="center"/>
    </xf>
    <xf numFmtId="3" fontId="12" fillId="8" borderId="0" xfId="2" applyFont="1" applyFill="1" applyBorder="1" applyAlignment="1" applyProtection="1">
      <alignment horizontal="center"/>
    </xf>
    <xf numFmtId="0" fontId="15" fillId="0" borderId="0" xfId="0" applyFont="1" applyBorder="1" applyAlignment="1">
      <alignment horizontal="centerContinuous" vertical="center"/>
    </xf>
    <xf numFmtId="0" fontId="15" fillId="0" borderId="0" xfId="0" applyFont="1" applyBorder="1" applyAlignment="1">
      <alignment vertical="center"/>
    </xf>
    <xf numFmtId="0" fontId="7" fillId="0" borderId="0" xfId="0" applyFont="1" applyFill="1" applyBorder="1" applyAlignment="1" applyProtection="1">
      <protection locked="0"/>
    </xf>
    <xf numFmtId="0" fontId="6" fillId="0" borderId="0" xfId="0" applyFont="1" applyFill="1" applyBorder="1" applyAlignment="1" applyProtection="1">
      <alignment horizontal="center"/>
      <protection locked="0"/>
    </xf>
    <xf numFmtId="0" fontId="7" fillId="0" borderId="0" xfId="0" applyFont="1" applyAlignment="1" applyProtection="1"/>
    <xf numFmtId="0" fontId="7" fillId="0" borderId="0" xfId="0" applyFont="1" applyAlignment="1" applyProtection="1">
      <alignment horizontal="center"/>
      <protection locked="0"/>
    </xf>
    <xf numFmtId="0" fontId="12" fillId="8" borderId="1" xfId="0" applyFont="1" applyFill="1" applyBorder="1" applyAlignment="1" applyProtection="1">
      <protection locked="0"/>
    </xf>
    <xf numFmtId="0" fontId="12" fillId="0" borderId="1" xfId="0" applyFont="1" applyBorder="1" applyAlignment="1" applyProtection="1">
      <protection locked="0"/>
    </xf>
    <xf numFmtId="3" fontId="13" fillId="8" borderId="1" xfId="0" applyNumberFormat="1" applyFont="1" applyFill="1" applyBorder="1" applyAlignment="1" applyProtection="1">
      <protection locked="0"/>
    </xf>
    <xf numFmtId="3" fontId="12" fillId="8" borderId="1" xfId="0" applyNumberFormat="1" applyFont="1" applyFill="1" applyBorder="1" applyAlignment="1" applyProtection="1">
      <alignment horizontal="center"/>
      <protection locked="0"/>
    </xf>
    <xf numFmtId="165" fontId="13" fillId="8" borderId="1" xfId="0" applyNumberFormat="1" applyFont="1" applyFill="1" applyBorder="1" applyAlignment="1" applyProtection="1">
      <alignment horizontal="center"/>
      <protection locked="0"/>
    </xf>
    <xf numFmtId="0" fontId="12" fillId="8" borderId="1" xfId="0" applyFont="1" applyFill="1" applyBorder="1" applyAlignment="1" applyProtection="1">
      <alignment horizontal="center"/>
      <protection locked="0"/>
    </xf>
    <xf numFmtId="0" fontId="12" fillId="0" borderId="1" xfId="0" applyFont="1" applyFill="1" applyBorder="1" applyAlignment="1" applyProtection="1">
      <alignment vertical="center"/>
    </xf>
    <xf numFmtId="0" fontId="13" fillId="8" borderId="1" xfId="0" applyFont="1" applyFill="1" applyBorder="1" applyAlignment="1" applyProtection="1">
      <alignment horizontal="right" vertical="center"/>
      <protection locked="0"/>
    </xf>
    <xf numFmtId="3" fontId="13" fillId="0" borderId="1" xfId="0" applyNumberFormat="1" applyFont="1" applyFill="1" applyBorder="1" applyAlignment="1" applyProtection="1">
      <alignment horizontal="right" vertical="center"/>
    </xf>
    <xf numFmtId="3" fontId="13" fillId="8" borderId="1" xfId="0" applyNumberFormat="1" applyFont="1" applyFill="1" applyBorder="1" applyAlignment="1" applyProtection="1">
      <alignment horizontal="right" vertical="center"/>
    </xf>
    <xf numFmtId="3" fontId="13" fillId="8" borderId="1" xfId="0" applyNumberFormat="1" applyFont="1" applyFill="1" applyBorder="1" applyAlignment="1" applyProtection="1">
      <alignment horizontal="right" vertical="center"/>
      <protection locked="0"/>
    </xf>
    <xf numFmtId="0" fontId="13" fillId="0" borderId="1" xfId="0" applyFont="1" applyFill="1" applyBorder="1" applyAlignment="1" applyProtection="1">
      <alignment vertical="center"/>
    </xf>
    <xf numFmtId="3" fontId="12" fillId="0" borderId="1" xfId="0" applyNumberFormat="1" applyFont="1" applyFill="1" applyBorder="1" applyAlignment="1" applyProtection="1">
      <alignment horizontal="right" vertical="center"/>
    </xf>
    <xf numFmtId="0" fontId="12" fillId="0" borderId="1" xfId="0" applyFont="1" applyBorder="1" applyAlignment="1" applyProtection="1">
      <alignment vertical="center"/>
    </xf>
    <xf numFmtId="3" fontId="13" fillId="8" borderId="1" xfId="0" applyNumberFormat="1" applyFont="1" applyFill="1" applyBorder="1" applyAlignment="1" applyProtection="1">
      <alignment vertical="center"/>
      <protection locked="0"/>
    </xf>
    <xf numFmtId="0" fontId="18" fillId="0" borderId="0" xfId="0" applyFont="1" applyFill="1" applyBorder="1" applyAlignment="1" applyProtection="1">
      <alignment horizontal="center"/>
    </xf>
    <xf numFmtId="0" fontId="7" fillId="0" borderId="0" xfId="0" applyFont="1" applyFill="1" applyBorder="1" applyAlignment="1" applyProtection="1">
      <alignment horizontal="left"/>
      <protection locked="0"/>
    </xf>
    <xf numFmtId="0" fontId="19" fillId="4" borderId="0" xfId="0" applyFont="1" applyFill="1" applyBorder="1" applyAlignment="1" applyProtection="1">
      <alignment horizontal="centerContinuous" vertical="center"/>
    </xf>
    <xf numFmtId="0" fontId="19" fillId="4" borderId="0" xfId="0" applyFont="1" applyFill="1" applyBorder="1" applyAlignment="1" applyProtection="1">
      <alignment horizontal="centerContinuous" vertical="center"/>
      <protection locked="0"/>
    </xf>
    <xf numFmtId="0" fontId="19" fillId="5" borderId="0" xfId="0" applyFont="1" applyFill="1" applyBorder="1" applyAlignment="1" applyProtection="1">
      <alignment horizontal="centerContinuous" vertical="center"/>
    </xf>
    <xf numFmtId="165" fontId="12" fillId="8" borderId="1" xfId="0" applyNumberFormat="1" applyFont="1" applyFill="1" applyBorder="1" applyAlignment="1" applyProtection="1">
      <alignment horizontal="center"/>
      <protection locked="0"/>
    </xf>
    <xf numFmtId="3" fontId="12" fillId="0" borderId="1" xfId="2" applyFont="1" applyFill="1" applyBorder="1" applyAlignment="1" applyProtection="1">
      <alignment horizontal="center"/>
    </xf>
    <xf numFmtId="0" fontId="12" fillId="0" borderId="1" xfId="0" applyFont="1" applyFill="1" applyBorder="1" applyAlignment="1" applyProtection="1"/>
    <xf numFmtId="3" fontId="12" fillId="0" borderId="1" xfId="0" applyNumberFormat="1" applyFont="1" applyFill="1" applyBorder="1" applyAlignment="1" applyProtection="1">
      <alignment horizontal="center"/>
    </xf>
    <xf numFmtId="0" fontId="12" fillId="0" borderId="1" xfId="0" applyFont="1" applyFill="1" applyBorder="1" applyAlignment="1" applyProtection="1">
      <alignment horizontal="center"/>
    </xf>
    <xf numFmtId="0" fontId="13" fillId="8" borderId="1" xfId="0" applyFont="1" applyFill="1" applyBorder="1" applyAlignment="1" applyProtection="1">
      <protection locked="0"/>
    </xf>
    <xf numFmtId="0" fontId="13" fillId="0" borderId="1" xfId="0" applyFont="1" applyBorder="1" applyAlignment="1" applyProtection="1"/>
    <xf numFmtId="3" fontId="13" fillId="8" borderId="1" xfId="2" applyFont="1" applyFill="1" applyBorder="1" applyAlignment="1" applyProtection="1">
      <protection locked="0"/>
    </xf>
    <xf numFmtId="0" fontId="12" fillId="8" borderId="1" xfId="0" applyFont="1" applyFill="1" applyBorder="1" applyAlignment="1" applyProtection="1"/>
    <xf numFmtId="0" fontId="13" fillId="8" borderId="1" xfId="0" applyFont="1" applyFill="1" applyBorder="1" applyAlignment="1" applyProtection="1">
      <alignment horizontal="center"/>
      <protection locked="0"/>
    </xf>
    <xf numFmtId="0" fontId="13" fillId="0" borderId="1" xfId="0" applyFont="1" applyFill="1" applyBorder="1" applyAlignment="1" applyProtection="1"/>
    <xf numFmtId="3" fontId="12" fillId="0" borderId="1" xfId="0" applyNumberFormat="1" applyFont="1" applyFill="1" applyBorder="1" applyAlignment="1" applyProtection="1">
      <alignment horizontal="center" vertical="center"/>
    </xf>
    <xf numFmtId="0" fontId="12" fillId="0" borderId="4" xfId="0" applyFont="1" applyFill="1" applyBorder="1" applyAlignment="1" applyProtection="1"/>
    <xf numFmtId="3" fontId="13" fillId="0" borderId="4" xfId="0" applyNumberFormat="1" applyFont="1" applyFill="1" applyBorder="1" applyAlignment="1" applyProtection="1"/>
    <xf numFmtId="0" fontId="12" fillId="0" borderId="4" xfId="0" applyFont="1" applyFill="1" applyBorder="1" applyAlignment="1" applyProtection="1">
      <alignment horizontal="center"/>
    </xf>
    <xf numFmtId="165" fontId="13" fillId="0" borderId="4" xfId="0" applyNumberFormat="1" applyFont="1" applyFill="1" applyBorder="1" applyAlignment="1" applyProtection="1">
      <alignment horizontal="center"/>
    </xf>
    <xf numFmtId="0" fontId="12" fillId="8" borderId="1" xfId="0" applyFont="1" applyFill="1" applyBorder="1" applyAlignment="1" applyProtection="1">
      <alignment vertical="center"/>
      <protection locked="0"/>
    </xf>
    <xf numFmtId="3" fontId="12" fillId="8" borderId="1" xfId="0" applyNumberFormat="1" applyFont="1" applyFill="1" applyBorder="1" applyAlignment="1" applyProtection="1">
      <alignment vertical="center"/>
      <protection locked="0"/>
    </xf>
    <xf numFmtId="3" fontId="8" fillId="0" borderId="0" xfId="0" applyNumberFormat="1" applyFont="1" applyFill="1" applyBorder="1" applyAlignment="1" applyProtection="1"/>
    <xf numFmtId="0" fontId="11" fillId="0" borderId="0" xfId="0" applyFont="1" applyFill="1" applyBorder="1" applyAlignment="1" applyProtection="1"/>
    <xf numFmtId="0" fontId="7" fillId="0" borderId="0" xfId="0" applyFont="1" applyFill="1" applyBorder="1" applyAlignment="1" applyProtection="1">
      <alignment vertical="center"/>
      <protection locked="0"/>
    </xf>
    <xf numFmtId="0" fontId="20" fillId="0" borderId="0" xfId="0" applyFont="1" applyBorder="1" applyAlignment="1" applyProtection="1">
      <alignment horizontal="left" vertical="center"/>
      <protection locked="0"/>
    </xf>
    <xf numFmtId="0" fontId="20" fillId="0" borderId="0" xfId="0" applyFont="1" applyFill="1" applyBorder="1" applyAlignment="1" applyProtection="1">
      <alignment horizontal="left" vertical="center"/>
      <protection locked="0"/>
    </xf>
    <xf numFmtId="0" fontId="20" fillId="0" borderId="0" xfId="0" applyFont="1" applyFill="1" applyBorder="1" applyAlignment="1" applyProtection="1">
      <alignment horizontal="right" vertical="center"/>
      <protection locked="0"/>
    </xf>
    <xf numFmtId="0" fontId="11" fillId="0" borderId="0" xfId="0" applyFont="1" applyBorder="1" applyAlignment="1" applyProtection="1">
      <protection locked="0"/>
    </xf>
    <xf numFmtId="3" fontId="9" fillId="0" borderId="0" xfId="0" applyNumberFormat="1" applyFont="1" applyFill="1" applyBorder="1" applyAlignment="1" applyProtection="1">
      <alignment horizontal="center"/>
      <protection locked="0"/>
    </xf>
    <xf numFmtId="0" fontId="6" fillId="0" borderId="0" xfId="0" applyFont="1" applyFill="1" applyBorder="1" applyAlignment="1" applyProtection="1">
      <protection locked="0"/>
    </xf>
    <xf numFmtId="3" fontId="9" fillId="0" borderId="0"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22" fillId="0" borderId="0" xfId="0" applyFont="1" applyBorder="1" applyAlignment="1" applyProtection="1">
      <alignment vertical="center"/>
      <protection locked="0"/>
    </xf>
    <xf numFmtId="0" fontId="6" fillId="0" borderId="0" xfId="0" applyFont="1" applyFill="1" applyBorder="1" applyAlignment="1"/>
    <xf numFmtId="0" fontId="6" fillId="0" borderId="0" xfId="0"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3" fontId="6" fillId="0" borderId="0" xfId="0" applyNumberFormat="1" applyFont="1" applyFill="1" applyBorder="1" applyAlignment="1" applyProtection="1">
      <alignment vertical="center"/>
      <protection locked="0"/>
    </xf>
    <xf numFmtId="0" fontId="23" fillId="0" borderId="0" xfId="0" applyFont="1" applyFill="1" applyBorder="1" applyAlignment="1" applyProtection="1">
      <protection locked="0"/>
    </xf>
    <xf numFmtId="0" fontId="15" fillId="0" borderId="0" xfId="0" applyFont="1" applyFill="1" applyBorder="1" applyAlignment="1" applyProtection="1">
      <alignment horizontal="centerContinuous" vertical="center"/>
      <protection locked="0"/>
    </xf>
    <xf numFmtId="0" fontId="14" fillId="0" borderId="0" xfId="0" applyFont="1" applyFill="1" applyBorder="1" applyAlignment="1" applyProtection="1">
      <alignment horizontal="centerContinuous" vertical="center"/>
      <protection locked="0"/>
    </xf>
    <xf numFmtId="0" fontId="24" fillId="0" borderId="0" xfId="0" applyFont="1" applyFill="1" applyBorder="1" applyAlignment="1" applyProtection="1">
      <alignment horizontal="centerContinuous"/>
      <protection locked="0"/>
    </xf>
    <xf numFmtId="0" fontId="21" fillId="0" borderId="0" xfId="0" applyFont="1" applyFill="1" applyBorder="1" applyAlignment="1" applyProtection="1">
      <alignment horizontal="centerContinuous"/>
      <protection locked="0"/>
    </xf>
    <xf numFmtId="0" fontId="6" fillId="0" borderId="0" xfId="0" applyFont="1" applyFill="1" applyBorder="1" applyAlignment="1" applyProtection="1">
      <alignment horizontal="centerContinuous"/>
      <protection locked="0"/>
    </xf>
    <xf numFmtId="0" fontId="9" fillId="0" borderId="0" xfId="0" applyFont="1" applyFill="1" applyBorder="1" applyAlignment="1" applyProtection="1">
      <alignment vertical="center"/>
      <protection locked="0"/>
    </xf>
    <xf numFmtId="3" fontId="9" fillId="0" borderId="0" xfId="0" applyNumberFormat="1" applyFont="1" applyFill="1" applyBorder="1" applyAlignment="1" applyProtection="1">
      <alignment horizontal="centerContinuous" vertical="center"/>
      <protection locked="0"/>
    </xf>
    <xf numFmtId="3" fontId="6" fillId="0" borderId="0" xfId="0" applyNumberFormat="1" applyFont="1" applyFill="1" applyBorder="1" applyAlignment="1" applyProtection="1">
      <alignment horizontal="centerContinuous" vertical="center"/>
      <protection locked="0"/>
    </xf>
    <xf numFmtId="3" fontId="10" fillId="0" borderId="0" xfId="0" applyNumberFormat="1" applyFont="1" applyFill="1" applyBorder="1" applyAlignment="1" applyProtection="1">
      <protection locked="0"/>
    </xf>
    <xf numFmtId="3" fontId="6" fillId="0" borderId="0" xfId="0" applyNumberFormat="1" applyFont="1" applyFill="1" applyBorder="1" applyAlignment="1" applyProtection="1">
      <protection locked="0"/>
    </xf>
    <xf numFmtId="3" fontId="6" fillId="0" borderId="0" xfId="0" applyNumberFormat="1" applyFont="1" applyFill="1" applyBorder="1" applyAlignment="1" applyProtection="1">
      <alignment horizontal="centerContinuous"/>
      <protection locked="0"/>
    </xf>
    <xf numFmtId="0" fontId="9" fillId="0" borderId="0" xfId="0" applyFont="1" applyFill="1" applyBorder="1" applyAlignment="1" applyProtection="1">
      <alignment horizontal="center"/>
      <protection locked="0"/>
    </xf>
    <xf numFmtId="0" fontId="9" fillId="0" borderId="0" xfId="0" applyFont="1" applyFill="1" applyBorder="1" applyAlignment="1" applyProtection="1">
      <protection locked="0"/>
    </xf>
    <xf numFmtId="0" fontId="7" fillId="0" borderId="0" xfId="0" applyFont="1" applyFill="1" applyBorder="1" applyAlignment="1" applyProtection="1">
      <alignment horizontal="center" vertical="center"/>
      <protection locked="0"/>
    </xf>
    <xf numFmtId="3" fontId="7" fillId="0" borderId="0" xfId="0" applyNumberFormat="1" applyFont="1" applyFill="1" applyBorder="1" applyAlignment="1" applyProtection="1">
      <alignment horizontal="right" vertical="center"/>
      <protection locked="0"/>
    </xf>
    <xf numFmtId="0" fontId="7" fillId="0" borderId="0" xfId="0" applyFont="1" applyFill="1" applyBorder="1" applyAlignment="1">
      <alignment vertical="center"/>
    </xf>
    <xf numFmtId="3" fontId="7" fillId="0" borderId="0" xfId="0" applyNumberFormat="1" applyFont="1" applyFill="1" applyBorder="1" applyAlignment="1">
      <alignment horizontal="right" vertical="center"/>
    </xf>
    <xf numFmtId="3" fontId="7" fillId="0" borderId="0" xfId="0" applyNumberFormat="1" applyFont="1" applyFill="1" applyBorder="1" applyAlignment="1" applyProtection="1">
      <alignment horizontal="right"/>
      <protection locked="0"/>
    </xf>
    <xf numFmtId="3" fontId="25" fillId="0" borderId="0" xfId="0" applyNumberFormat="1" applyFont="1" applyFill="1" applyBorder="1" applyAlignment="1" applyProtection="1">
      <alignment horizontal="centerContinuous" vertical="center"/>
      <protection locked="0"/>
    </xf>
    <xf numFmtId="0" fontId="7" fillId="0" borderId="0" xfId="0" applyFont="1" applyFill="1" applyBorder="1" applyAlignment="1" applyProtection="1">
      <alignment horizontal="centerContinuous" vertical="center"/>
      <protection locked="0"/>
    </xf>
    <xf numFmtId="3" fontId="7" fillId="0" borderId="0" xfId="0" applyNumberFormat="1" applyFont="1" applyFill="1" applyBorder="1" applyAlignment="1" applyProtection="1">
      <alignment vertical="center"/>
      <protection locked="0"/>
    </xf>
    <xf numFmtId="0" fontId="10" fillId="0" borderId="0" xfId="0" applyFont="1" applyFill="1" applyBorder="1" applyAlignment="1" applyProtection="1">
      <protection locked="0"/>
    </xf>
    <xf numFmtId="0" fontId="7" fillId="0" borderId="4" xfId="0" applyFont="1" applyFill="1" applyBorder="1" applyAlignment="1" applyProtection="1">
      <alignment vertical="center"/>
      <protection locked="0"/>
    </xf>
    <xf numFmtId="0" fontId="9" fillId="0" borderId="4" xfId="0" applyFont="1" applyFill="1" applyBorder="1" applyAlignment="1" applyProtection="1">
      <protection locked="0"/>
    </xf>
    <xf numFmtId="0" fontId="13" fillId="0" borderId="0" xfId="0" applyFont="1" applyFill="1" applyBorder="1" applyAlignment="1" applyProtection="1">
      <alignment horizontal="right"/>
      <protection locked="0"/>
    </xf>
    <xf numFmtId="0" fontId="12" fillId="0" borderId="0" xfId="0" applyFont="1" applyFill="1" applyBorder="1" applyAlignment="1" applyProtection="1">
      <protection locked="0"/>
    </xf>
    <xf numFmtId="3" fontId="13" fillId="0" borderId="0" xfId="0" applyNumberFormat="1" applyFont="1" applyFill="1" applyBorder="1" applyAlignment="1" applyProtection="1">
      <alignment horizontal="centerContinuous"/>
      <protection locked="0"/>
    </xf>
    <xf numFmtId="0" fontId="12" fillId="0" borderId="4" xfId="0" applyFont="1" applyFill="1" applyBorder="1" applyAlignment="1" applyProtection="1">
      <alignment vertical="center"/>
      <protection locked="0"/>
    </xf>
    <xf numFmtId="0" fontId="13" fillId="0" borderId="4" xfId="0" applyFont="1" applyFill="1" applyBorder="1" applyAlignment="1" applyProtection="1">
      <alignment horizontal="center" vertical="center"/>
      <protection locked="0"/>
    </xf>
    <xf numFmtId="0" fontId="12" fillId="0" borderId="0" xfId="0" applyFont="1" applyFill="1" applyBorder="1" applyAlignment="1" applyProtection="1">
      <alignment vertical="center"/>
      <protection locked="0"/>
    </xf>
    <xf numFmtId="0" fontId="12" fillId="0" borderId="0" xfId="0" applyFont="1" applyFill="1" applyBorder="1" applyAlignment="1" applyProtection="1">
      <alignment horizontal="center" vertical="center"/>
      <protection locked="0"/>
    </xf>
    <xf numFmtId="3" fontId="12" fillId="0" borderId="0" xfId="2" applyFont="1" applyFill="1" applyBorder="1" applyAlignment="1" applyProtection="1">
      <alignment horizontal="center" vertical="center"/>
      <protection locked="0"/>
    </xf>
    <xf numFmtId="9" fontId="12" fillId="0" borderId="0" xfId="0" applyNumberFormat="1" applyFont="1" applyFill="1" applyBorder="1" applyAlignment="1" applyProtection="1">
      <alignment horizontal="center" vertical="center"/>
      <protection locked="0"/>
    </xf>
    <xf numFmtId="9" fontId="12" fillId="0" borderId="0" xfId="3" applyFont="1" applyFill="1" applyBorder="1" applyAlignment="1" applyProtection="1">
      <alignment horizontal="center"/>
      <protection locked="0"/>
    </xf>
    <xf numFmtId="3" fontId="26" fillId="0" borderId="0" xfId="0" applyNumberFormat="1" applyFont="1" applyFill="1" applyBorder="1" applyAlignment="1" applyProtection="1">
      <alignment horizontal="center"/>
      <protection locked="0"/>
    </xf>
    <xf numFmtId="0" fontId="26" fillId="0" borderId="0" xfId="0" applyFont="1" applyFill="1" applyBorder="1" applyAlignment="1" applyProtection="1">
      <alignment horizontal="centerContinuous"/>
      <protection locked="0"/>
    </xf>
    <xf numFmtId="0" fontId="12" fillId="0" borderId="4" xfId="0" applyFont="1" applyFill="1" applyBorder="1" applyAlignment="1" applyProtection="1">
      <protection locked="0"/>
    </xf>
    <xf numFmtId="9" fontId="12" fillId="0" borderId="4" xfId="3" applyFont="1" applyFill="1" applyBorder="1" applyAlignment="1" applyProtection="1">
      <alignment horizontal="center"/>
      <protection locked="0"/>
    </xf>
    <xf numFmtId="0" fontId="12" fillId="0" borderId="0" xfId="0" applyFont="1" applyFill="1" applyBorder="1" applyAlignment="1" applyProtection="1">
      <alignment horizontal="centerContinuous"/>
      <protection locked="0"/>
    </xf>
    <xf numFmtId="0" fontId="12" fillId="0" borderId="0" xfId="0" applyFont="1" applyFill="1" applyBorder="1" applyAlignment="1" applyProtection="1">
      <alignment horizontal="right"/>
      <protection locked="0"/>
    </xf>
    <xf numFmtId="0" fontId="13" fillId="0" borderId="0" xfId="0" applyFont="1" applyFill="1" applyBorder="1" applyAlignment="1" applyProtection="1">
      <alignment vertical="center"/>
      <protection locked="0"/>
    </xf>
    <xf numFmtId="3" fontId="12" fillId="0" borderId="0" xfId="0" applyNumberFormat="1" applyFont="1" applyFill="1" applyBorder="1" applyAlignment="1" applyProtection="1">
      <alignment vertical="center"/>
      <protection locked="0"/>
    </xf>
    <xf numFmtId="3" fontId="13" fillId="0" borderId="0" xfId="0" applyNumberFormat="1" applyFont="1" applyFill="1" applyBorder="1" applyAlignment="1" applyProtection="1">
      <alignment horizontal="right" vertical="center"/>
      <protection locked="0"/>
    </xf>
    <xf numFmtId="3" fontId="12" fillId="0" borderId="0" xfId="0" applyNumberFormat="1" applyFont="1" applyFill="1" applyBorder="1" applyAlignment="1" applyProtection="1">
      <alignment horizontal="center" vertical="center"/>
      <protection locked="0"/>
    </xf>
    <xf numFmtId="3" fontId="12" fillId="0" borderId="0" xfId="2" applyFont="1" applyFill="1" applyBorder="1" applyAlignment="1" applyProtection="1">
      <alignment horizontal="right" vertical="center"/>
      <protection locked="0"/>
    </xf>
    <xf numFmtId="3" fontId="12" fillId="0" borderId="0" xfId="0" applyNumberFormat="1" applyFont="1" applyFill="1" applyBorder="1" applyAlignment="1" applyProtection="1">
      <alignment horizontal="right" vertical="center"/>
      <protection locked="0"/>
    </xf>
    <xf numFmtId="3" fontId="12" fillId="0" borderId="4" xfId="0" applyNumberFormat="1" applyFont="1" applyFill="1" applyBorder="1" applyAlignment="1" applyProtection="1">
      <alignment vertical="center"/>
      <protection locked="0"/>
    </xf>
    <xf numFmtId="3" fontId="12" fillId="0" borderId="4" xfId="0" applyNumberFormat="1" applyFont="1" applyFill="1" applyBorder="1" applyAlignment="1" applyProtection="1">
      <alignment horizontal="center" vertical="center"/>
      <protection locked="0"/>
    </xf>
    <xf numFmtId="3" fontId="12" fillId="0" borderId="4" xfId="0" applyNumberFormat="1" applyFont="1" applyFill="1" applyBorder="1" applyAlignment="1" applyProtection="1">
      <alignment horizontal="right" vertical="center"/>
      <protection locked="0"/>
    </xf>
    <xf numFmtId="3" fontId="13" fillId="0" borderId="0" xfId="0" applyNumberFormat="1" applyFont="1" applyFill="1" applyBorder="1" applyAlignment="1" applyProtection="1">
      <alignment vertical="center"/>
      <protection locked="0"/>
    </xf>
    <xf numFmtId="3" fontId="12" fillId="0" borderId="0" xfId="0" applyNumberFormat="1" applyFont="1" applyFill="1" applyBorder="1" applyAlignment="1" applyProtection="1">
      <alignment horizontal="centerContinuous" vertical="center"/>
      <protection locked="0"/>
    </xf>
    <xf numFmtId="3" fontId="26" fillId="0" borderId="0" xfId="0" applyNumberFormat="1" applyFont="1" applyFill="1" applyBorder="1" applyAlignment="1" applyProtection="1">
      <alignment vertical="center"/>
      <protection locked="0"/>
    </xf>
    <xf numFmtId="0" fontId="26" fillId="0" borderId="0" xfId="0" applyFont="1" applyFill="1" applyBorder="1" applyAlignment="1" applyProtection="1">
      <alignment horizontal="left" vertical="center"/>
      <protection locked="0"/>
    </xf>
    <xf numFmtId="0" fontId="26" fillId="0" borderId="0" xfId="0" applyFont="1" applyFill="1" applyBorder="1" applyAlignment="1" applyProtection="1">
      <alignment horizontal="right" vertical="center"/>
      <protection locked="0"/>
    </xf>
    <xf numFmtId="0" fontId="26" fillId="0" borderId="0" xfId="0" applyFont="1" applyFill="1" applyBorder="1" applyAlignment="1" applyProtection="1">
      <alignment horizontal="center" vertical="center"/>
      <protection locked="0"/>
    </xf>
    <xf numFmtId="0" fontId="12" fillId="0" borderId="4" xfId="0" applyFont="1" applyBorder="1" applyAlignment="1" applyProtection="1">
      <protection locked="0"/>
    </xf>
    <xf numFmtId="0" fontId="13" fillId="0" borderId="4" xfId="0" applyFont="1" applyFill="1" applyBorder="1" applyAlignment="1" applyProtection="1">
      <alignment vertical="center"/>
      <protection locked="0"/>
    </xf>
    <xf numFmtId="3" fontId="13" fillId="0" borderId="4" xfId="0" applyNumberFormat="1" applyFont="1" applyFill="1" applyBorder="1" applyAlignment="1" applyProtection="1">
      <alignment vertical="center"/>
      <protection locked="0"/>
    </xf>
    <xf numFmtId="3" fontId="13" fillId="0" borderId="0" xfId="0" applyNumberFormat="1" applyFont="1" applyFill="1" applyBorder="1" applyAlignment="1" applyProtection="1">
      <alignment horizontal="center"/>
      <protection locked="0"/>
    </xf>
    <xf numFmtId="0" fontId="13" fillId="0" borderId="4" xfId="0" applyFont="1" applyFill="1" applyBorder="1" applyAlignment="1">
      <alignment vertical="center"/>
    </xf>
    <xf numFmtId="0" fontId="12" fillId="0" borderId="4" xfId="0" applyFont="1" applyFill="1" applyBorder="1" applyAlignment="1">
      <alignment vertical="center"/>
    </xf>
    <xf numFmtId="3" fontId="12" fillId="0" borderId="4" xfId="2" applyFont="1" applyFill="1" applyBorder="1" applyAlignment="1">
      <alignment horizontal="right" vertical="center"/>
    </xf>
    <xf numFmtId="0" fontId="12" fillId="0" borderId="4" xfId="0" applyFont="1" applyFill="1" applyBorder="1" applyAlignment="1" applyProtection="1">
      <alignment horizontal="right" vertical="center"/>
      <protection locked="0"/>
    </xf>
    <xf numFmtId="165" fontId="12" fillId="0" borderId="4" xfId="0" applyNumberFormat="1" applyFont="1" applyFill="1" applyBorder="1" applyAlignment="1" applyProtection="1">
      <alignment horizontal="right" vertical="center"/>
      <protection locked="0"/>
    </xf>
    <xf numFmtId="165" fontId="12" fillId="0" borderId="4" xfId="0" applyNumberFormat="1" applyFont="1" applyFill="1" applyBorder="1" applyAlignment="1" applyProtection="1">
      <alignment vertical="center"/>
      <protection locked="0"/>
    </xf>
    <xf numFmtId="0" fontId="26" fillId="0" borderId="4" xfId="0" applyFont="1" applyFill="1" applyBorder="1" applyAlignment="1" applyProtection="1">
      <alignment horizontal="right" vertical="center"/>
      <protection locked="0"/>
    </xf>
    <xf numFmtId="164" fontId="12" fillId="0" borderId="4" xfId="0" applyNumberFormat="1" applyFont="1" applyFill="1" applyBorder="1" applyAlignment="1" applyProtection="1">
      <alignment vertical="center"/>
      <protection locked="0"/>
    </xf>
    <xf numFmtId="0" fontId="13" fillId="0" borderId="4" xfId="0" applyFont="1" applyFill="1" applyBorder="1" applyAlignment="1" applyProtection="1">
      <alignment horizontal="right" vertical="center"/>
      <protection locked="0"/>
    </xf>
    <xf numFmtId="0" fontId="13" fillId="0" borderId="4" xfId="0" applyFont="1" applyFill="1" applyBorder="1" applyAlignment="1">
      <alignment horizontal="right" vertical="center"/>
    </xf>
    <xf numFmtId="0" fontId="12" fillId="0" borderId="4" xfId="0" applyFont="1" applyFill="1" applyBorder="1" applyAlignment="1" applyProtection="1">
      <alignment horizontal="right"/>
      <protection locked="0"/>
    </xf>
    <xf numFmtId="0" fontId="12" fillId="0" borderId="4" xfId="0" applyFont="1" applyFill="1" applyBorder="1" applyAlignment="1" applyProtection="1">
      <alignment horizontal="centerContinuous"/>
      <protection locked="0"/>
    </xf>
    <xf numFmtId="0" fontId="12" fillId="0" borderId="4" xfId="0" applyFont="1" applyFill="1" applyBorder="1" applyAlignment="1" applyProtection="1">
      <alignment horizontal="center"/>
      <protection locked="0"/>
    </xf>
    <xf numFmtId="0" fontId="12" fillId="8" borderId="0" xfId="0" applyFont="1" applyFill="1" applyBorder="1" applyAlignment="1" applyProtection="1">
      <alignment horizontal="center" vertical="center"/>
      <protection locked="0"/>
    </xf>
    <xf numFmtId="9" fontId="12" fillId="8" borderId="0" xfId="0" applyNumberFormat="1" applyFont="1" applyFill="1" applyBorder="1" applyAlignment="1" applyProtection="1">
      <alignment horizontal="center" vertical="center"/>
      <protection locked="0"/>
    </xf>
    <xf numFmtId="164" fontId="12" fillId="8" borderId="0" xfId="0" applyNumberFormat="1" applyFont="1" applyFill="1" applyBorder="1" applyAlignment="1" applyProtection="1">
      <alignment horizontal="center" vertical="center"/>
      <protection locked="0"/>
    </xf>
    <xf numFmtId="0" fontId="19" fillId="6" borderId="0" xfId="0" applyFont="1" applyFill="1" applyBorder="1" applyAlignment="1" applyProtection="1">
      <protection locked="0"/>
    </xf>
    <xf numFmtId="0" fontId="19" fillId="6" borderId="0" xfId="0" applyFont="1" applyFill="1" applyBorder="1" applyAlignment="1" applyProtection="1">
      <alignment horizontal="center"/>
      <protection locked="0"/>
    </xf>
    <xf numFmtId="0" fontId="16" fillId="0" borderId="0" xfId="0" applyFont="1" applyFill="1" applyBorder="1" applyAlignment="1" applyProtection="1">
      <protection locked="0"/>
    </xf>
    <xf numFmtId="0" fontId="19" fillId="6" borderId="0" xfId="0" applyFont="1" applyFill="1" applyBorder="1" applyAlignment="1" applyProtection="1">
      <alignment horizontal="left"/>
      <protection locked="0"/>
    </xf>
    <xf numFmtId="0" fontId="24" fillId="0" borderId="4" xfId="0" applyFont="1" applyFill="1" applyBorder="1" applyAlignment="1" applyProtection="1">
      <alignment horizontal="right" vertical="center"/>
      <protection locked="0"/>
    </xf>
    <xf numFmtId="0" fontId="20" fillId="0" borderId="4" xfId="0" applyFont="1" applyFill="1" applyBorder="1" applyAlignment="1" applyProtection="1">
      <alignment vertical="center"/>
      <protection locked="0"/>
    </xf>
    <xf numFmtId="0" fontId="18" fillId="0" borderId="4" xfId="0" applyFont="1" applyFill="1" applyBorder="1" applyAlignment="1" applyProtection="1">
      <alignment horizontal="center" vertical="center"/>
      <protection locked="0"/>
    </xf>
    <xf numFmtId="0" fontId="24" fillId="0" borderId="4" xfId="0" applyFont="1" applyFill="1" applyBorder="1" applyAlignment="1" applyProtection="1">
      <alignment horizontal="centerContinuous" vertical="center"/>
      <protection locked="0"/>
    </xf>
    <xf numFmtId="0" fontId="18" fillId="0" borderId="4" xfId="0" applyFont="1" applyFill="1" applyBorder="1" applyAlignment="1" applyProtection="1">
      <alignment vertical="center"/>
      <protection locked="0"/>
    </xf>
    <xf numFmtId="0" fontId="12" fillId="0" borderId="0" xfId="0" applyFont="1" applyFill="1" applyAlignment="1"/>
    <xf numFmtId="0" fontId="12" fillId="0" borderId="0" xfId="0" applyFont="1" applyAlignment="1"/>
    <xf numFmtId="0" fontId="12" fillId="0" borderId="0" xfId="0" applyFont="1" applyFill="1" applyAlignment="1">
      <alignment vertical="center"/>
    </xf>
    <xf numFmtId="0" fontId="12" fillId="0" borderId="0" xfId="0" applyFont="1" applyAlignment="1">
      <alignment vertical="center"/>
    </xf>
    <xf numFmtId="0" fontId="12" fillId="0" borderId="0" xfId="0" applyFont="1" applyFill="1" applyBorder="1" applyAlignment="1">
      <alignment vertical="center"/>
    </xf>
    <xf numFmtId="0" fontId="13" fillId="0" borderId="0" xfId="0" applyFont="1" applyFill="1" applyBorder="1" applyAlignment="1">
      <alignment vertical="center"/>
    </xf>
    <xf numFmtId="3" fontId="13" fillId="0" borderId="0" xfId="0" applyNumberFormat="1" applyFont="1" applyFill="1" applyBorder="1" applyAlignment="1">
      <alignment vertical="center"/>
    </xf>
    <xf numFmtId="3" fontId="12" fillId="0" borderId="0" xfId="0" applyNumberFormat="1" applyFont="1" applyFill="1" applyBorder="1" applyAlignment="1">
      <alignment vertical="center"/>
    </xf>
    <xf numFmtId="0" fontId="12" fillId="0" borderId="0" xfId="0" applyFont="1" applyFill="1" applyBorder="1" applyAlignment="1"/>
    <xf numFmtId="0" fontId="26" fillId="0" borderId="0" xfId="0" applyFont="1" applyFill="1" applyBorder="1" applyAlignment="1">
      <alignment vertical="center"/>
    </xf>
    <xf numFmtId="3" fontId="12" fillId="0" borderId="0" xfId="0" applyNumberFormat="1" applyFont="1" applyFill="1" applyBorder="1" applyAlignment="1">
      <alignment horizontal="centerContinuous" vertical="center"/>
    </xf>
    <xf numFmtId="0" fontId="13" fillId="0" borderId="0" xfId="0" applyFont="1" applyFill="1" applyBorder="1" applyAlignment="1"/>
    <xf numFmtId="3" fontId="13" fillId="0" borderId="0" xfId="0" applyNumberFormat="1" applyFont="1" applyFill="1" applyBorder="1" applyAlignment="1"/>
    <xf numFmtId="0" fontId="12" fillId="0" borderId="0" xfId="0" applyFont="1" applyFill="1" applyBorder="1" applyAlignment="1">
      <alignment horizontal="centerContinuous" vertical="center"/>
    </xf>
    <xf numFmtId="3" fontId="12" fillId="0" borderId="0" xfId="0" applyNumberFormat="1" applyFont="1" applyFill="1" applyBorder="1" applyAlignment="1"/>
    <xf numFmtId="0" fontId="12" fillId="0" borderId="0" xfId="0" applyFont="1" applyFill="1" applyBorder="1" applyAlignment="1">
      <alignment horizontal="centerContinuous"/>
    </xf>
    <xf numFmtId="0" fontId="12" fillId="0" borderId="0" xfId="0" applyFont="1" applyFill="1" applyBorder="1" applyAlignment="1">
      <alignment horizontal="right" vertical="center"/>
    </xf>
    <xf numFmtId="3" fontId="27" fillId="0" borderId="0" xfId="0" applyNumberFormat="1" applyFont="1" applyFill="1" applyBorder="1" applyAlignment="1">
      <alignment vertical="center"/>
    </xf>
    <xf numFmtId="4" fontId="12" fillId="0" borderId="0" xfId="0" applyNumberFormat="1" applyFont="1" applyFill="1" applyBorder="1" applyAlignment="1">
      <alignment vertical="center"/>
    </xf>
    <xf numFmtId="3" fontId="12" fillId="0" borderId="0" xfId="2" applyFont="1" applyFill="1" applyBorder="1" applyAlignment="1">
      <alignment vertical="center"/>
    </xf>
    <xf numFmtId="9" fontId="12" fillId="0" borderId="0" xfId="0" applyNumberFormat="1" applyFont="1" applyFill="1" applyBorder="1" applyAlignment="1">
      <alignment vertical="center"/>
    </xf>
    <xf numFmtId="0" fontId="12" fillId="0" borderId="0" xfId="0" applyFont="1" applyBorder="1" applyAlignment="1"/>
    <xf numFmtId="0" fontId="12" fillId="0" borderId="0" xfId="0" applyFont="1" applyFill="1" applyBorder="1" applyAlignment="1">
      <alignment horizontal="center" vertical="center"/>
    </xf>
    <xf numFmtId="0" fontId="28" fillId="0" borderId="0" xfId="0" applyFont="1" applyBorder="1" applyAlignment="1" applyProtection="1">
      <protection locked="0"/>
    </xf>
    <xf numFmtId="0" fontId="29" fillId="0" borderId="0" xfId="0" applyFont="1" applyBorder="1" applyAlignment="1" applyProtection="1">
      <alignment vertical="center"/>
      <protection locked="0"/>
    </xf>
    <xf numFmtId="0" fontId="28" fillId="0" borderId="0" xfId="0" applyFont="1" applyFill="1" applyBorder="1" applyAlignment="1" applyProtection="1">
      <protection locked="0"/>
    </xf>
    <xf numFmtId="0" fontId="28" fillId="0" borderId="0" xfId="0" applyFont="1" applyBorder="1" applyAlignment="1" applyProtection="1">
      <alignment vertical="center"/>
      <protection locked="0"/>
    </xf>
    <xf numFmtId="9" fontId="28" fillId="0" borderId="0" xfId="0" applyNumberFormat="1" applyFont="1" applyBorder="1" applyAlignment="1" applyProtection="1">
      <alignment horizontal="center"/>
      <protection locked="0"/>
    </xf>
    <xf numFmtId="0" fontId="28" fillId="0" borderId="0" xfId="0" applyFont="1" applyBorder="1" applyAlignment="1" applyProtection="1">
      <alignment horizontal="center"/>
      <protection locked="0"/>
    </xf>
    <xf numFmtId="0" fontId="28" fillId="2" borderId="1" xfId="0" applyFont="1" applyFill="1" applyBorder="1" applyAlignment="1" applyProtection="1">
      <alignment vertical="center"/>
      <protection locked="0"/>
    </xf>
    <xf numFmtId="3" fontId="28" fillId="2" borderId="1" xfId="0" applyNumberFormat="1" applyFont="1" applyFill="1" applyBorder="1" applyAlignment="1" applyProtection="1">
      <alignment horizontal="center" vertical="center"/>
      <protection locked="0"/>
    </xf>
    <xf numFmtId="0" fontId="28" fillId="2" borderId="1" xfId="0" applyFont="1" applyFill="1" applyBorder="1" applyAlignment="1" applyProtection="1">
      <alignment horizontal="center" vertical="center"/>
      <protection locked="0"/>
    </xf>
    <xf numFmtId="9" fontId="28" fillId="2" borderId="1" xfId="3" applyFont="1" applyFill="1" applyBorder="1" applyAlignment="1" applyProtection="1">
      <alignment horizontal="center" vertical="center"/>
      <protection locked="0"/>
    </xf>
    <xf numFmtId="164" fontId="28" fillId="2" borderId="1" xfId="3" applyNumberFormat="1" applyFont="1" applyFill="1" applyBorder="1" applyAlignment="1" applyProtection="1">
      <alignment horizontal="center" vertical="center"/>
      <protection locked="0"/>
    </xf>
    <xf numFmtId="9" fontId="28" fillId="2" borderId="1" xfId="0" applyNumberFormat="1" applyFont="1" applyFill="1" applyBorder="1" applyAlignment="1" applyProtection="1">
      <alignment horizontal="center" vertical="center"/>
      <protection locked="0"/>
    </xf>
    <xf numFmtId="0" fontId="31" fillId="2" borderId="1" xfId="0" applyFont="1" applyFill="1" applyBorder="1" applyAlignment="1" applyProtection="1">
      <alignment vertical="center"/>
      <protection locked="0"/>
    </xf>
    <xf numFmtId="0" fontId="30" fillId="2" borderId="1" xfId="0" applyFont="1" applyFill="1" applyBorder="1" applyAlignment="1" applyProtection="1">
      <protection locked="0"/>
    </xf>
    <xf numFmtId="3" fontId="30" fillId="2" borderId="1" xfId="0" applyNumberFormat="1" applyFont="1" applyFill="1" applyBorder="1" applyAlignment="1" applyProtection="1">
      <alignment horizontal="center"/>
      <protection locked="0"/>
    </xf>
    <xf numFmtId="0" fontId="30" fillId="2" borderId="1" xfId="0" applyFont="1" applyFill="1" applyBorder="1" applyAlignment="1" applyProtection="1">
      <alignment horizontal="center"/>
      <protection locked="0"/>
    </xf>
    <xf numFmtId="0" fontId="28" fillId="0" borderId="0" xfId="0" applyNumberFormat="1" applyFont="1" applyFill="1" applyBorder="1" applyAlignment="1" applyProtection="1"/>
    <xf numFmtId="0" fontId="28" fillId="0" borderId="0" xfId="0" applyFont="1" applyBorder="1" applyAlignment="1"/>
    <xf numFmtId="0" fontId="28" fillId="0" borderId="0" xfId="0" applyFont="1" applyAlignment="1"/>
    <xf numFmtId="0" fontId="28" fillId="0" borderId="0" xfId="0" applyFont="1" applyBorder="1" applyAlignment="1">
      <alignment horizontal="center"/>
    </xf>
    <xf numFmtId="0" fontId="28" fillId="0" borderId="0" xfId="0" applyFont="1" applyFill="1" applyBorder="1" applyAlignment="1"/>
    <xf numFmtId="3" fontId="28" fillId="0" borderId="0" xfId="0" applyNumberFormat="1" applyFont="1" applyFill="1" applyBorder="1" applyAlignment="1">
      <alignment horizontal="right"/>
    </xf>
    <xf numFmtId="0" fontId="28" fillId="0" borderId="0" xfId="0" applyFont="1" applyFill="1" applyBorder="1" applyAlignment="1">
      <alignment horizontal="center"/>
    </xf>
    <xf numFmtId="164" fontId="28" fillId="0" borderId="0" xfId="3" applyNumberFormat="1" applyFont="1" applyFill="1" applyBorder="1" applyAlignment="1">
      <alignment horizontal="center"/>
    </xf>
    <xf numFmtId="0" fontId="30" fillId="0" borderId="0" xfId="0" applyFont="1" applyFill="1" applyBorder="1" applyAlignment="1"/>
    <xf numFmtId="3" fontId="30" fillId="0" borderId="0" xfId="0" applyNumberFormat="1" applyFont="1" applyFill="1" applyBorder="1" applyAlignment="1"/>
    <xf numFmtId="3" fontId="28" fillId="0" borderId="0" xfId="0" applyNumberFormat="1" applyFont="1" applyFill="1" applyBorder="1" applyAlignment="1"/>
    <xf numFmtId="9" fontId="28" fillId="0" borderId="0" xfId="0" applyNumberFormat="1" applyFont="1" applyFill="1" applyBorder="1" applyAlignment="1"/>
    <xf numFmtId="0" fontId="28" fillId="0" borderId="0" xfId="0" applyFont="1" applyFill="1" applyBorder="1" applyAlignment="1">
      <alignment horizontal="right"/>
    </xf>
    <xf numFmtId="3" fontId="28" fillId="0" borderId="0" xfId="0" applyNumberFormat="1" applyFont="1" applyAlignment="1"/>
    <xf numFmtId="0" fontId="28" fillId="0" borderId="0" xfId="0" applyFont="1" applyAlignment="1">
      <alignment horizontal="center"/>
    </xf>
    <xf numFmtId="0" fontId="33" fillId="0" borderId="0" xfId="0" applyFont="1" applyFill="1" applyBorder="1" applyAlignment="1">
      <alignment horizontal="center"/>
    </xf>
    <xf numFmtId="0" fontId="30" fillId="0" borderId="0" xfId="0" applyFont="1" applyFill="1" applyBorder="1" applyAlignment="1">
      <alignment horizontal="centerContinuous"/>
    </xf>
    <xf numFmtId="0" fontId="28" fillId="0" borderId="0" xfId="0" applyFont="1" applyFill="1" applyBorder="1" applyAlignment="1">
      <alignment horizontal="centerContinuous"/>
    </xf>
    <xf numFmtId="0" fontId="30" fillId="0" borderId="0" xfId="0" applyFont="1" applyFill="1" applyBorder="1" applyAlignment="1">
      <alignment horizontal="right"/>
    </xf>
    <xf numFmtId="0" fontId="30" fillId="0" borderId="0" xfId="0" applyFont="1" applyFill="1" applyBorder="1" applyAlignment="1">
      <alignment horizontal="center"/>
    </xf>
    <xf numFmtId="3" fontId="28" fillId="0" borderId="0" xfId="0" applyNumberFormat="1" applyFont="1" applyFill="1" applyBorder="1" applyAlignment="1">
      <alignment horizontal="center"/>
    </xf>
    <xf numFmtId="3" fontId="30" fillId="0" borderId="0" xfId="0" applyNumberFormat="1" applyFont="1" applyFill="1" applyBorder="1" applyAlignment="1">
      <alignment horizontal="center"/>
    </xf>
    <xf numFmtId="0" fontId="30" fillId="0" borderId="4" xfId="0" applyFont="1" applyFill="1" applyBorder="1" applyAlignment="1">
      <alignment horizontal="right"/>
    </xf>
    <xf numFmtId="0" fontId="30" fillId="0" borderId="4" xfId="0" applyFont="1" applyFill="1" applyBorder="1" applyAlignment="1">
      <alignment horizontal="center"/>
    </xf>
    <xf numFmtId="0" fontId="28" fillId="0" borderId="4" xfId="0" applyFont="1" applyFill="1" applyBorder="1" applyAlignment="1"/>
    <xf numFmtId="3" fontId="28" fillId="0" borderId="4" xfId="0" applyNumberFormat="1" applyFont="1" applyBorder="1" applyAlignment="1"/>
    <xf numFmtId="3" fontId="28" fillId="0" borderId="0" xfId="0" applyNumberFormat="1" applyFont="1" applyFill="1" applyBorder="1" applyAlignment="1" applyProtection="1">
      <protection locked="0"/>
    </xf>
    <xf numFmtId="0" fontId="34" fillId="0" borderId="0" xfId="0" applyFont="1" applyAlignment="1"/>
    <xf numFmtId="0" fontId="13" fillId="0" borderId="4" xfId="0" applyFont="1" applyFill="1" applyBorder="1" applyAlignment="1" applyProtection="1">
      <alignment horizontal="left" vertical="center"/>
      <protection locked="0"/>
    </xf>
    <xf numFmtId="0" fontId="36" fillId="0" borderId="0" xfId="0" applyFont="1" applyFill="1" applyBorder="1" applyAlignment="1" applyProtection="1">
      <alignment horizontal="centerContinuous"/>
      <protection locked="0"/>
    </xf>
    <xf numFmtId="0" fontId="36" fillId="0" borderId="4" xfId="0" applyFont="1" applyFill="1" applyBorder="1" applyAlignment="1" applyProtection="1">
      <alignment horizontal="right"/>
      <protection locked="0"/>
    </xf>
    <xf numFmtId="0" fontId="36" fillId="0" borderId="0" xfId="0" applyFont="1" applyFill="1" applyBorder="1" applyAlignment="1" applyProtection="1">
      <alignment horizontal="right"/>
      <protection locked="0"/>
    </xf>
    <xf numFmtId="3" fontId="36" fillId="0" borderId="0" xfId="0" applyNumberFormat="1" applyFont="1" applyFill="1" applyBorder="1" applyAlignment="1" applyProtection="1">
      <alignment horizontal="right" vertical="center"/>
      <protection locked="0"/>
    </xf>
    <xf numFmtId="3" fontId="36" fillId="0" borderId="4" xfId="0" applyNumberFormat="1" applyFont="1" applyFill="1" applyBorder="1" applyAlignment="1" applyProtection="1">
      <alignment horizontal="right" vertical="center"/>
      <protection locked="0"/>
    </xf>
    <xf numFmtId="3" fontId="35" fillId="0" borderId="0" xfId="0" applyNumberFormat="1" applyFont="1" applyFill="1" applyBorder="1" applyAlignment="1" applyProtection="1">
      <alignment horizontal="right" vertical="center"/>
      <protection locked="0"/>
    </xf>
    <xf numFmtId="0" fontId="7" fillId="0" borderId="0" xfId="0" applyFont="1" applyBorder="1" applyAlignment="1" applyProtection="1">
      <alignment horizontal="left"/>
    </xf>
    <xf numFmtId="0" fontId="7" fillId="12" borderId="0" xfId="0" applyFont="1" applyFill="1" applyBorder="1" applyAlignment="1" applyProtection="1"/>
    <xf numFmtId="1" fontId="7" fillId="12" borderId="0" xfId="0" applyNumberFormat="1" applyFont="1" applyFill="1" applyBorder="1" applyAlignment="1" applyProtection="1">
      <protection locked="0"/>
    </xf>
    <xf numFmtId="164" fontId="12" fillId="12" borderId="1" xfId="0" applyNumberFormat="1" applyFont="1" applyFill="1" applyBorder="1" applyAlignment="1" applyProtection="1">
      <alignment horizontal="center"/>
      <protection locked="0"/>
    </xf>
    <xf numFmtId="0" fontId="37" fillId="0" borderId="0" xfId="0" applyFont="1" applyFill="1" applyBorder="1" applyAlignment="1" applyProtection="1"/>
    <xf numFmtId="3" fontId="12" fillId="0" borderId="0" xfId="0" applyNumberFormat="1" applyFont="1" applyAlignment="1"/>
    <xf numFmtId="3" fontId="28" fillId="0" borderId="4" xfId="0" applyNumberFormat="1" applyFont="1" applyFill="1" applyBorder="1" applyAlignment="1"/>
    <xf numFmtId="3" fontId="28" fillId="0" borderId="4" xfId="0" applyNumberFormat="1" applyFont="1" applyFill="1" applyBorder="1" applyAlignment="1">
      <alignment horizontal="center"/>
    </xf>
    <xf numFmtId="3" fontId="28" fillId="0" borderId="4" xfId="0" applyNumberFormat="1" applyFont="1" applyFill="1" applyBorder="1" applyAlignment="1">
      <alignment horizontal="right"/>
    </xf>
    <xf numFmtId="0" fontId="28" fillId="0" borderId="4" xfId="0" applyFont="1" applyFill="1" applyBorder="1" applyAlignment="1">
      <alignment horizontal="center"/>
    </xf>
    <xf numFmtId="164" fontId="28" fillId="0" borderId="4" xfId="3" applyNumberFormat="1" applyFont="1" applyFill="1" applyBorder="1" applyAlignment="1">
      <alignment horizontal="center"/>
    </xf>
    <xf numFmtId="0" fontId="28" fillId="0" borderId="0" xfId="0" applyFont="1" applyFill="1" applyBorder="1" applyAlignment="1" applyProtection="1">
      <alignment horizontal="center"/>
      <protection locked="0"/>
    </xf>
    <xf numFmtId="0" fontId="28" fillId="0" borderId="0" xfId="0" applyFont="1" applyFill="1" applyBorder="1" applyAlignment="1" applyProtection="1">
      <alignment horizontal="center" vertical="center"/>
      <protection locked="0"/>
    </xf>
    <xf numFmtId="164" fontId="28" fillId="0" borderId="0" xfId="3" applyNumberFormat="1" applyFont="1" applyFill="1" applyBorder="1" applyAlignment="1" applyProtection="1">
      <alignment horizontal="center" vertical="center"/>
      <protection locked="0"/>
    </xf>
    <xf numFmtId="0" fontId="28" fillId="0" borderId="0" xfId="0" applyFont="1" applyFill="1" applyBorder="1" applyAlignment="1" applyProtection="1">
      <alignment vertical="center"/>
      <protection locked="0"/>
    </xf>
    <xf numFmtId="0" fontId="28" fillId="0" borderId="0" xfId="3" applyNumberFormat="1" applyFont="1" applyFill="1" applyBorder="1" applyAlignment="1" applyProtection="1">
      <alignment vertical="center"/>
      <protection locked="0"/>
    </xf>
    <xf numFmtId="0" fontId="30" fillId="0" borderId="0" xfId="0" applyFont="1" applyFill="1" applyBorder="1" applyAlignment="1" applyProtection="1">
      <protection locked="0"/>
    </xf>
    <xf numFmtId="9" fontId="28" fillId="0" borderId="0" xfId="3" applyFont="1" applyFill="1" applyBorder="1" applyAlignment="1" applyProtection="1">
      <alignment horizontal="center"/>
      <protection locked="0"/>
    </xf>
    <xf numFmtId="9" fontId="31" fillId="0" borderId="0" xfId="0" applyNumberFormat="1" applyFont="1" applyFill="1" applyBorder="1" applyAlignment="1" applyProtection="1">
      <alignment horizontal="centerContinuous"/>
      <protection locked="0"/>
    </xf>
    <xf numFmtId="9" fontId="31" fillId="0" borderId="5" xfId="0" applyNumberFormat="1" applyFont="1" applyFill="1" applyBorder="1" applyAlignment="1" applyProtection="1">
      <alignment horizontal="centerContinuous"/>
      <protection locked="0"/>
    </xf>
    <xf numFmtId="0" fontId="31" fillId="0" borderId="0" xfId="0" applyFont="1" applyFill="1" applyBorder="1" applyAlignment="1" applyProtection="1">
      <alignment horizontal="center"/>
      <protection locked="0"/>
    </xf>
    <xf numFmtId="0" fontId="31" fillId="0" borderId="0" xfId="0" applyFont="1" applyFill="1" applyBorder="1" applyAlignment="1" applyProtection="1">
      <protection locked="0"/>
    </xf>
    <xf numFmtId="0" fontId="31" fillId="0" borderId="0" xfId="0" applyFont="1" applyFill="1" applyBorder="1" applyAlignment="1" applyProtection="1">
      <alignment horizontal="centerContinuous"/>
      <protection locked="0"/>
    </xf>
    <xf numFmtId="0" fontId="28" fillId="0" borderId="5" xfId="0" applyFont="1" applyFill="1" applyBorder="1" applyAlignment="1" applyProtection="1">
      <alignment horizontal="centerContinuous"/>
      <protection locked="0"/>
    </xf>
    <xf numFmtId="0" fontId="28" fillId="0" borderId="0" xfId="0" applyFont="1" applyFill="1" applyBorder="1" applyAlignment="1" applyProtection="1">
      <alignment horizontal="centerContinuous"/>
      <protection locked="0"/>
    </xf>
    <xf numFmtId="0" fontId="28" fillId="0" borderId="0"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3" fontId="30" fillId="0" borderId="5" xfId="0" applyNumberFormat="1" applyFont="1" applyFill="1" applyBorder="1" applyAlignment="1" applyProtection="1">
      <alignment horizontal="center" vertical="center" wrapText="1"/>
      <protection locked="0"/>
    </xf>
    <xf numFmtId="0" fontId="38" fillId="0" borderId="0" xfId="0" applyNumberFormat="1" applyFont="1" applyFill="1" applyBorder="1" applyAlignment="1" applyProtection="1"/>
    <xf numFmtId="0" fontId="38" fillId="0" borderId="0" xfId="0" applyFont="1" applyAlignment="1"/>
    <xf numFmtId="0" fontId="38" fillId="0" borderId="0" xfId="0" applyNumberFormat="1" applyFont="1" applyFill="1" applyBorder="1" applyAlignment="1" applyProtection="1">
      <protection locked="0"/>
    </xf>
    <xf numFmtId="0" fontId="38" fillId="0" borderId="0" xfId="0" applyFont="1" applyFill="1" applyAlignment="1" applyProtection="1">
      <protection locked="0"/>
    </xf>
    <xf numFmtId="0" fontId="38" fillId="0" borderId="0" xfId="0" applyFont="1" applyFill="1" applyBorder="1" applyAlignment="1"/>
    <xf numFmtId="0" fontId="28" fillId="0" borderId="1" xfId="0" applyFont="1" applyFill="1" applyBorder="1" applyAlignment="1" applyProtection="1">
      <protection locked="0"/>
    </xf>
    <xf numFmtId="0" fontId="28" fillId="0" borderId="1" xfId="0" applyFont="1" applyFill="1" applyBorder="1" applyAlignment="1" applyProtection="1">
      <alignment horizontal="center"/>
      <protection locked="0"/>
    </xf>
    <xf numFmtId="3" fontId="30" fillId="0" borderId="1" xfId="0" applyNumberFormat="1" applyFont="1" applyFill="1" applyBorder="1" applyAlignment="1" applyProtection="1">
      <alignment horizontal="center"/>
      <protection locked="0"/>
    </xf>
    <xf numFmtId="3" fontId="12" fillId="0" borderId="4" xfId="0" applyNumberFormat="1" applyFont="1" applyFill="1" applyBorder="1" applyAlignment="1">
      <alignment vertical="center"/>
    </xf>
    <xf numFmtId="0" fontId="12" fillId="0" borderId="4" xfId="0" applyFont="1" applyFill="1" applyBorder="1" applyAlignment="1">
      <alignment horizontal="centerContinuous" vertical="center"/>
    </xf>
    <xf numFmtId="0" fontId="12" fillId="0" borderId="4" xfId="0" applyFont="1" applyFill="1" applyBorder="1" applyAlignment="1"/>
    <xf numFmtId="3" fontId="39" fillId="0" borderId="0" xfId="2" applyFont="1" applyFill="1" applyBorder="1" applyAlignment="1">
      <alignment horizontal="left" vertical="center"/>
    </xf>
    <xf numFmtId="3" fontId="40" fillId="0" borderId="0" xfId="2" applyFont="1" applyFill="1" applyBorder="1" applyAlignment="1">
      <alignment horizontal="left" vertical="center"/>
    </xf>
    <xf numFmtId="3" fontId="41" fillId="0" borderId="0" xfId="2" applyFont="1" applyFill="1" applyBorder="1" applyAlignment="1">
      <alignment horizontal="left" vertical="center"/>
    </xf>
    <xf numFmtId="0" fontId="13" fillId="0" borderId="8" xfId="0" applyFont="1" applyFill="1" applyBorder="1" applyAlignment="1">
      <alignment vertical="center"/>
    </xf>
    <xf numFmtId="0" fontId="12" fillId="0" borderId="5" xfId="0" applyFont="1" applyFill="1" applyBorder="1" applyAlignment="1">
      <alignment vertical="center"/>
    </xf>
    <xf numFmtId="3" fontId="13" fillId="0" borderId="5" xfId="0" applyNumberFormat="1" applyFont="1" applyFill="1" applyBorder="1" applyAlignment="1">
      <alignment vertical="center"/>
    </xf>
    <xf numFmtId="3" fontId="12" fillId="0" borderId="5" xfId="0" applyNumberFormat="1" applyFont="1" applyFill="1" applyBorder="1" applyAlignment="1">
      <alignment vertical="center"/>
    </xf>
    <xf numFmtId="0" fontId="12" fillId="0" borderId="5" xfId="0" applyFont="1" applyFill="1" applyBorder="1" applyAlignment="1"/>
    <xf numFmtId="0" fontId="13" fillId="0" borderId="8" xfId="0" applyFont="1" applyFill="1" applyBorder="1" applyAlignment="1">
      <alignment horizontal="right" vertical="center"/>
    </xf>
    <xf numFmtId="0" fontId="12" fillId="0" borderId="5" xfId="0" applyFont="1" applyFill="1" applyBorder="1" applyAlignment="1">
      <alignment horizontal="centerContinuous" vertical="center"/>
    </xf>
    <xf numFmtId="3" fontId="12" fillId="0" borderId="8" xfId="0" applyNumberFormat="1" applyFont="1" applyFill="1" applyBorder="1" applyAlignment="1">
      <alignment vertical="center"/>
    </xf>
    <xf numFmtId="3" fontId="13" fillId="0" borderId="5" xfId="0" applyNumberFormat="1" applyFont="1" applyFill="1" applyBorder="1" applyAlignment="1"/>
    <xf numFmtId="3" fontId="12" fillId="0" borderId="5" xfId="0" applyNumberFormat="1" applyFont="1" applyFill="1" applyBorder="1" applyAlignment="1"/>
    <xf numFmtId="0" fontId="12" fillId="0" borderId="8" xfId="0" applyFont="1" applyFill="1" applyBorder="1" applyAlignment="1"/>
    <xf numFmtId="0" fontId="13" fillId="0" borderId="5" xfId="0" applyFont="1" applyFill="1" applyBorder="1" applyAlignment="1">
      <alignment vertical="center"/>
    </xf>
    <xf numFmtId="0" fontId="26" fillId="0" borderId="8" xfId="0" applyFont="1" applyFill="1" applyBorder="1" applyAlignment="1">
      <alignment vertical="center"/>
    </xf>
    <xf numFmtId="0" fontId="26" fillId="0" borderId="8" xfId="0" applyFont="1" applyFill="1" applyBorder="1" applyAlignment="1">
      <alignment horizontal="right" vertical="center"/>
    </xf>
    <xf numFmtId="3" fontId="12" fillId="0" borderId="4" xfId="0" applyNumberFormat="1" applyFont="1" applyFill="1" applyBorder="1" applyAlignment="1">
      <alignment horizontal="centerContinuous" vertical="center"/>
    </xf>
    <xf numFmtId="0" fontId="18" fillId="0" borderId="8" xfId="0" applyFont="1" applyFill="1" applyBorder="1" applyAlignment="1" applyProtection="1">
      <alignment horizontal="center" vertical="center"/>
      <protection locked="0"/>
    </xf>
    <xf numFmtId="0" fontId="7" fillId="0" borderId="5" xfId="0" applyFont="1" applyFill="1" applyBorder="1" applyAlignment="1" applyProtection="1">
      <alignment horizontal="centerContinuous" vertical="center"/>
      <protection locked="0"/>
    </xf>
    <xf numFmtId="0" fontId="24" fillId="0" borderId="8" xfId="0" applyFont="1" applyFill="1" applyBorder="1" applyAlignment="1" applyProtection="1">
      <alignment horizontal="centerContinuous" vertical="center"/>
      <protection locked="0"/>
    </xf>
    <xf numFmtId="0" fontId="7" fillId="0" borderId="5" xfId="0" applyFont="1" applyFill="1" applyBorder="1" applyAlignment="1" applyProtection="1">
      <alignment vertical="center"/>
      <protection locked="0"/>
    </xf>
    <xf numFmtId="0" fontId="16" fillId="0" borderId="0" xfId="0" applyFont="1" applyFill="1" applyBorder="1" applyAlignment="1" applyProtection="1">
      <alignment horizontal="center"/>
    </xf>
    <xf numFmtId="0" fontId="6" fillId="0" borderId="0" xfId="0" applyFont="1" applyFill="1" applyBorder="1" applyAlignment="1" applyProtection="1">
      <alignment horizontal="center"/>
    </xf>
    <xf numFmtId="3" fontId="6" fillId="0" borderId="0" xfId="2" applyFont="1" applyFill="1" applyBorder="1" applyAlignment="1" applyProtection="1">
      <alignment horizontal="center"/>
    </xf>
    <xf numFmtId="0" fontId="43" fillId="6" borderId="0" xfId="0" applyFont="1" applyFill="1" applyBorder="1" applyAlignment="1" applyProtection="1">
      <alignment horizontal="centerContinuous" vertical="center"/>
    </xf>
    <xf numFmtId="0" fontId="7" fillId="6" borderId="0" xfId="0" applyFont="1" applyFill="1" applyBorder="1" applyAlignment="1" applyProtection="1"/>
    <xf numFmtId="0" fontId="43" fillId="6" borderId="0" xfId="0" applyFont="1" applyFill="1" applyBorder="1" applyAlignment="1" applyProtection="1">
      <alignment horizontal="left" vertical="center"/>
    </xf>
    <xf numFmtId="0" fontId="13" fillId="9" borderId="0" xfId="0" applyFont="1" applyFill="1" applyBorder="1" applyAlignment="1" applyProtection="1">
      <alignment horizontal="left"/>
      <protection locked="0"/>
    </xf>
    <xf numFmtId="0" fontId="12" fillId="11" borderId="0" xfId="0" applyFont="1" applyFill="1" applyBorder="1" applyAlignment="1" applyProtection="1">
      <alignment horizontal="left"/>
      <protection locked="0"/>
    </xf>
    <xf numFmtId="0" fontId="12" fillId="9" borderId="0" xfId="0" applyFont="1" applyFill="1" applyBorder="1" applyAlignment="1" applyProtection="1">
      <alignment horizontal="right"/>
      <protection locked="0"/>
    </xf>
    <xf numFmtId="0" fontId="13" fillId="9" borderId="1" xfId="0" applyFont="1" applyFill="1" applyBorder="1" applyAlignment="1" applyProtection="1">
      <protection locked="0"/>
    </xf>
    <xf numFmtId="3" fontId="13" fillId="9" borderId="1" xfId="0" applyNumberFormat="1" applyFont="1" applyFill="1" applyBorder="1" applyAlignment="1" applyProtection="1">
      <protection locked="0"/>
    </xf>
    <xf numFmtId="3" fontId="13" fillId="8" borderId="0" xfId="0" applyNumberFormat="1" applyFont="1" applyFill="1" applyBorder="1" applyAlignment="1" applyProtection="1">
      <alignment horizontal="right"/>
    </xf>
    <xf numFmtId="0" fontId="7" fillId="2" borderId="0" xfId="0" applyFont="1" applyFill="1" applyBorder="1" applyAlignment="1" applyProtection="1">
      <alignment horizontal="center"/>
    </xf>
    <xf numFmtId="164" fontId="7" fillId="8" borderId="0" xfId="0" applyNumberFormat="1" applyFont="1" applyFill="1" applyBorder="1" applyAlignment="1" applyProtection="1">
      <alignment horizontal="center"/>
    </xf>
    <xf numFmtId="9" fontId="7" fillId="8" borderId="0" xfId="0" applyNumberFormat="1" applyFont="1" applyFill="1" applyBorder="1" applyAlignment="1" applyProtection="1">
      <alignment horizontal="center"/>
    </xf>
    <xf numFmtId="164" fontId="7" fillId="8" borderId="0" xfId="3" applyNumberFormat="1" applyFont="1" applyFill="1" applyBorder="1" applyAlignment="1" applyProtection="1">
      <alignment horizontal="center"/>
    </xf>
    <xf numFmtId="9" fontId="7" fillId="8" borderId="0" xfId="3" applyFont="1" applyFill="1" applyBorder="1" applyAlignment="1" applyProtection="1">
      <alignment horizontal="center"/>
    </xf>
    <xf numFmtId="166" fontId="7" fillId="8" borderId="0" xfId="0" applyNumberFormat="1" applyFont="1" applyFill="1" applyBorder="1" applyAlignment="1" applyProtection="1">
      <alignment horizontal="center"/>
    </xf>
    <xf numFmtId="165" fontId="7" fillId="8" borderId="0" xfId="0" applyNumberFormat="1" applyFont="1" applyFill="1" applyBorder="1" applyAlignment="1" applyProtection="1">
      <alignment horizontal="center"/>
    </xf>
    <xf numFmtId="0" fontId="44" fillId="6" borderId="0" xfId="0" applyFont="1" applyFill="1" applyBorder="1" applyAlignment="1" applyProtection="1">
      <protection locked="0"/>
    </xf>
    <xf numFmtId="0" fontId="45" fillId="6" borderId="0" xfId="0" applyFont="1" applyFill="1" applyBorder="1" applyAlignment="1" applyProtection="1">
      <protection locked="0"/>
    </xf>
    <xf numFmtId="0" fontId="42" fillId="6" borderId="0" xfId="0" applyFont="1" applyFill="1" applyBorder="1" applyAlignment="1" applyProtection="1">
      <protection locked="0"/>
    </xf>
    <xf numFmtId="0" fontId="44" fillId="6" borderId="0"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3" fontId="27" fillId="0" borderId="0" xfId="0" applyNumberFormat="1" applyFont="1" applyFill="1" applyBorder="1" applyAlignment="1" applyProtection="1">
      <alignment vertical="center"/>
      <protection locked="0"/>
    </xf>
    <xf numFmtId="0" fontId="26" fillId="0" borderId="0" xfId="0" applyFont="1" applyFill="1" applyBorder="1" applyAlignment="1" applyProtection="1">
      <alignment vertical="center"/>
      <protection locked="0"/>
    </xf>
    <xf numFmtId="3" fontId="27" fillId="0" borderId="0" xfId="0" applyNumberFormat="1" applyFont="1" applyFill="1" applyBorder="1" applyAlignment="1" applyProtection="1">
      <alignment horizontal="right" vertical="center"/>
      <protection locked="0"/>
    </xf>
    <xf numFmtId="0" fontId="27" fillId="0" borderId="0" xfId="0" applyFont="1" applyFill="1" applyBorder="1" applyAlignment="1">
      <alignment vertical="center"/>
    </xf>
    <xf numFmtId="3" fontId="27" fillId="0" borderId="0" xfId="0" applyNumberFormat="1" applyFont="1" applyFill="1" applyBorder="1" applyAlignment="1">
      <alignment horizontal="right" vertical="center"/>
    </xf>
    <xf numFmtId="3" fontId="12" fillId="0" borderId="5" xfId="0" applyNumberFormat="1" applyFont="1" applyFill="1" applyBorder="1" applyAlignment="1" applyProtection="1">
      <alignment vertical="center"/>
      <protection locked="0"/>
    </xf>
    <xf numFmtId="3" fontId="12" fillId="0" borderId="8" xfId="0" applyNumberFormat="1" applyFont="1" applyFill="1" applyBorder="1" applyAlignment="1" applyProtection="1">
      <alignment vertical="center"/>
      <protection locked="0"/>
    </xf>
    <xf numFmtId="0" fontId="13" fillId="0" borderId="0" xfId="0" applyFont="1" applyFill="1" applyBorder="1" applyAlignment="1" applyProtection="1">
      <alignment horizontal="centerContinuous" vertical="center"/>
      <protection locked="0"/>
    </xf>
    <xf numFmtId="3" fontId="13" fillId="0" borderId="5" xfId="0" applyNumberFormat="1" applyFont="1" applyFill="1" applyBorder="1" applyAlignment="1" applyProtection="1">
      <alignment vertical="center"/>
      <protection locked="0"/>
    </xf>
    <xf numFmtId="0" fontId="12" fillId="0" borderId="0" xfId="0" applyFont="1" applyFill="1" applyBorder="1" applyAlignment="1" applyProtection="1">
      <alignment horizontal="centerContinuous" vertical="center"/>
      <protection locked="0"/>
    </xf>
    <xf numFmtId="0" fontId="12" fillId="0" borderId="4" xfId="0" applyFont="1" applyFill="1" applyBorder="1" applyAlignment="1" applyProtection="1">
      <alignment horizontal="centerContinuous" vertical="center"/>
      <protection locked="0"/>
    </xf>
    <xf numFmtId="0" fontId="12" fillId="0" borderId="8" xfId="0" applyFont="1" applyFill="1" applyBorder="1" applyAlignment="1" applyProtection="1">
      <alignment horizontal="centerContinuous" vertical="center"/>
      <protection locked="0"/>
    </xf>
    <xf numFmtId="0" fontId="12" fillId="0" borderId="5" xfId="0" applyFont="1" applyFill="1" applyBorder="1" applyAlignment="1" applyProtection="1">
      <alignment horizontal="centerContinuous" vertical="center"/>
      <protection locked="0"/>
    </xf>
    <xf numFmtId="0" fontId="12" fillId="0" borderId="0" xfId="0" applyNumberFormat="1" applyFont="1" applyFill="1" applyBorder="1" applyAlignment="1" applyProtection="1">
      <alignment vertical="center"/>
      <protection locked="0"/>
    </xf>
    <xf numFmtId="0" fontId="12" fillId="0" borderId="4" xfId="0" applyNumberFormat="1" applyFont="1" applyFill="1" applyBorder="1" applyAlignment="1" applyProtection="1">
      <alignment vertical="center"/>
      <protection locked="0"/>
    </xf>
    <xf numFmtId="3" fontId="27" fillId="0" borderId="5" xfId="0" applyNumberFormat="1" applyFont="1" applyFill="1" applyBorder="1" applyAlignment="1" applyProtection="1">
      <alignment vertical="center"/>
      <protection locked="0"/>
    </xf>
    <xf numFmtId="0" fontId="12" fillId="0" borderId="5" xfId="0" applyFont="1" applyFill="1" applyBorder="1" applyAlignment="1" applyProtection="1">
      <alignment vertical="center"/>
      <protection locked="0"/>
    </xf>
    <xf numFmtId="4" fontId="12" fillId="0" borderId="0" xfId="0" applyNumberFormat="1" applyFont="1" applyFill="1" applyBorder="1" applyAlignment="1" applyProtection="1">
      <alignment vertical="center"/>
      <protection locked="0"/>
    </xf>
    <xf numFmtId="3" fontId="12" fillId="0" borderId="0" xfId="2" applyFont="1" applyFill="1" applyBorder="1" applyAlignment="1" applyProtection="1">
      <alignment vertical="center"/>
      <protection locked="0"/>
    </xf>
    <xf numFmtId="9" fontId="12" fillId="0" borderId="0" xfId="0" applyNumberFormat="1" applyFont="1" applyFill="1" applyBorder="1" applyAlignment="1" applyProtection="1">
      <alignment vertical="center"/>
      <protection locked="0"/>
    </xf>
    <xf numFmtId="0" fontId="41" fillId="6" borderId="4" xfId="0" applyFont="1" applyFill="1" applyBorder="1" applyAlignment="1">
      <alignment vertical="center"/>
    </xf>
    <xf numFmtId="0" fontId="44" fillId="6" borderId="4" xfId="0" applyFont="1" applyFill="1" applyBorder="1" applyAlignment="1">
      <alignment vertical="center"/>
    </xf>
    <xf numFmtId="0" fontId="45" fillId="6" borderId="4" xfId="0" applyFont="1" applyFill="1" applyBorder="1" applyAlignment="1">
      <alignment vertical="center"/>
    </xf>
    <xf numFmtId="0" fontId="46" fillId="6" borderId="0" xfId="0" applyFont="1" applyFill="1" applyBorder="1" applyAlignment="1"/>
    <xf numFmtId="166" fontId="31" fillId="14" borderId="1" xfId="0" applyNumberFormat="1" applyFont="1" applyFill="1" applyBorder="1" applyAlignment="1" applyProtection="1">
      <alignment horizontal="center" vertical="center"/>
      <protection locked="0"/>
    </xf>
    <xf numFmtId="164" fontId="28" fillId="14" borderId="1" xfId="3" applyNumberFormat="1" applyFont="1" applyFill="1" applyBorder="1" applyAlignment="1" applyProtection="1">
      <alignment horizontal="center" vertical="center"/>
      <protection locked="0"/>
    </xf>
    <xf numFmtId="9" fontId="28" fillId="14" borderId="1" xfId="3" applyNumberFormat="1" applyFont="1" applyFill="1" applyBorder="1" applyAlignment="1" applyProtection="1">
      <alignment horizontal="center" vertical="center"/>
      <protection locked="0"/>
    </xf>
    <xf numFmtId="3" fontId="30" fillId="14" borderId="1" xfId="0" applyNumberFormat="1" applyFont="1" applyFill="1" applyBorder="1" applyAlignment="1" applyProtection="1">
      <alignment horizontal="center"/>
      <protection locked="0"/>
    </xf>
    <xf numFmtId="3" fontId="28" fillId="13" borderId="1" xfId="0" applyNumberFormat="1" applyFont="1" applyFill="1" applyBorder="1" applyAlignment="1" applyProtection="1">
      <alignment horizontal="center"/>
      <protection locked="0"/>
    </xf>
    <xf numFmtId="3" fontId="30" fillId="13" borderId="1" xfId="0" applyNumberFormat="1" applyFont="1" applyFill="1" applyBorder="1" applyAlignment="1" applyProtection="1">
      <alignment horizontal="center"/>
      <protection locked="0"/>
    </xf>
    <xf numFmtId="3" fontId="12" fillId="12" borderId="1" xfId="0" applyNumberFormat="1" applyFont="1" applyFill="1" applyBorder="1" applyAlignment="1" applyProtection="1">
      <alignment horizontal="right" vertical="center"/>
    </xf>
    <xf numFmtId="0" fontId="47" fillId="6" borderId="1" xfId="0" applyFont="1" applyFill="1" applyBorder="1" applyAlignment="1" applyProtection="1">
      <alignment horizontal="center"/>
    </xf>
    <xf numFmtId="0" fontId="43" fillId="6" borderId="0" xfId="0" applyFont="1" applyFill="1" applyBorder="1" applyAlignment="1" applyProtection="1">
      <alignment horizontal="center"/>
      <protection locked="0"/>
    </xf>
    <xf numFmtId="0" fontId="0" fillId="0" borderId="0" xfId="0" applyFill="1" applyBorder="1" applyAlignment="1"/>
    <xf numFmtId="3" fontId="27" fillId="0" borderId="9" xfId="0" applyNumberFormat="1" applyFont="1" applyFill="1" applyBorder="1" applyAlignment="1">
      <alignment horizontal="center" vertical="center" wrapText="1"/>
    </xf>
    <xf numFmtId="166" fontId="7" fillId="0" borderId="0" xfId="0" applyNumberFormat="1" applyFont="1" applyFill="1" applyBorder="1" applyAlignment="1" applyProtection="1">
      <alignment horizontal="center"/>
    </xf>
    <xf numFmtId="0" fontId="16" fillId="0" borderId="0" xfId="0" applyFont="1" applyBorder="1" applyAlignment="1" applyProtection="1">
      <protection locked="0"/>
    </xf>
    <xf numFmtId="0" fontId="0" fillId="15" borderId="0" xfId="0" applyFill="1" applyAlignment="1"/>
    <xf numFmtId="0" fontId="52" fillId="15" borderId="0" xfId="0" applyFont="1" applyFill="1" applyAlignment="1"/>
    <xf numFmtId="0" fontId="0" fillId="0" borderId="1" xfId="0" applyBorder="1" applyAlignment="1"/>
    <xf numFmtId="0" fontId="5" fillId="0" borderId="1" xfId="0" applyFont="1" applyBorder="1" applyAlignment="1"/>
    <xf numFmtId="14" fontId="5" fillId="0" borderId="1" xfId="0" applyNumberFormat="1" applyFont="1" applyBorder="1" applyAlignment="1">
      <alignment horizontal="left"/>
    </xf>
    <xf numFmtId="3" fontId="5" fillId="0" borderId="1" xfId="0" applyNumberFormat="1" applyFont="1" applyBorder="1" applyAlignment="1"/>
    <xf numFmtId="0" fontId="51" fillId="0" borderId="1" xfId="5" applyFill="1" applyBorder="1" applyAlignment="1"/>
    <xf numFmtId="0" fontId="51" fillId="0" borderId="1" xfId="5" applyFill="1" applyBorder="1" applyAlignment="1" applyProtection="1">
      <protection locked="0"/>
    </xf>
    <xf numFmtId="0" fontId="7" fillId="10" borderId="0" xfId="0" applyFont="1" applyFill="1" applyBorder="1" applyAlignment="1" applyProtection="1">
      <alignment horizontal="center"/>
    </xf>
    <xf numFmtId="6" fontId="13" fillId="0" borderId="2" xfId="0" applyNumberFormat="1" applyFont="1" applyFill="1" applyBorder="1" applyAlignment="1" applyProtection="1">
      <alignment horizontal="center"/>
    </xf>
    <xf numFmtId="0" fontId="13" fillId="0" borderId="3" xfId="0" applyFont="1" applyFill="1" applyBorder="1" applyAlignment="1" applyProtection="1">
      <alignment horizontal="center"/>
    </xf>
    <xf numFmtId="0" fontId="19" fillId="6" borderId="0"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48" fillId="0" borderId="2" xfId="0" applyFont="1" applyBorder="1" applyAlignment="1" applyProtection="1">
      <alignment horizontal="center" wrapText="1"/>
    </xf>
    <xf numFmtId="0" fontId="48" fillId="0" borderId="3" xfId="0" applyFont="1" applyBorder="1" applyAlignment="1" applyProtection="1">
      <alignment horizontal="center"/>
    </xf>
    <xf numFmtId="0" fontId="13" fillId="9" borderId="0" xfId="0" applyFont="1" applyFill="1" applyBorder="1" applyAlignment="1" applyProtection="1">
      <alignment horizontal="left"/>
      <protection locked="0"/>
    </xf>
    <xf numFmtId="3" fontId="19" fillId="6" borderId="0" xfId="0" applyNumberFormat="1" applyFont="1" applyFill="1" applyBorder="1" applyAlignment="1" applyProtection="1">
      <alignment horizontal="center"/>
    </xf>
    <xf numFmtId="3" fontId="13" fillId="0" borderId="0" xfId="0" applyNumberFormat="1" applyFont="1" applyBorder="1" applyAlignment="1" applyProtection="1">
      <alignment horizontal="center"/>
    </xf>
    <xf numFmtId="3" fontId="19" fillId="7" borderId="0" xfId="0" applyNumberFormat="1" applyFont="1" applyFill="1" applyBorder="1" applyAlignment="1" applyProtection="1">
      <alignment horizontal="center"/>
    </xf>
    <xf numFmtId="0" fontId="19" fillId="6" borderId="0" xfId="0" applyFont="1" applyFill="1" applyBorder="1" applyAlignment="1" applyProtection="1">
      <alignment horizontal="center"/>
      <protection locked="0"/>
    </xf>
    <xf numFmtId="0" fontId="33" fillId="4" borderId="0" xfId="0" applyFont="1" applyFill="1" applyBorder="1" applyAlignment="1">
      <alignment horizontal="center"/>
    </xf>
    <xf numFmtId="0" fontId="30" fillId="6" borderId="0" xfId="0" applyFont="1" applyFill="1" applyBorder="1" applyAlignment="1" applyProtection="1">
      <alignment horizontal="center" vertical="center" wrapText="1"/>
      <protection locked="0"/>
    </xf>
    <xf numFmtId="0" fontId="30" fillId="13" borderId="0" xfId="0" applyFont="1" applyFill="1" applyBorder="1" applyAlignment="1" applyProtection="1">
      <alignment horizontal="center" vertical="center" wrapText="1"/>
      <protection locked="0"/>
    </xf>
    <xf numFmtId="0" fontId="32" fillId="6" borderId="0" xfId="0" applyFont="1" applyFill="1" applyBorder="1" applyAlignment="1" applyProtection="1">
      <alignment horizontal="center" vertical="center"/>
      <protection locked="0"/>
    </xf>
    <xf numFmtId="0" fontId="30" fillId="0" borderId="6" xfId="0" applyFont="1" applyFill="1" applyBorder="1" applyAlignment="1">
      <alignment horizontal="center"/>
    </xf>
    <xf numFmtId="0" fontId="30" fillId="0" borderId="7" xfId="0" applyFont="1" applyFill="1" applyBorder="1" applyAlignment="1">
      <alignment horizontal="center"/>
    </xf>
    <xf numFmtId="0" fontId="32" fillId="4" borderId="0" xfId="0" applyFont="1" applyFill="1" applyBorder="1" applyAlignment="1">
      <alignment horizontal="center" vertical="center"/>
    </xf>
  </cellXfs>
  <cellStyles count="6">
    <cellStyle name="Afrundet valuta_Ark1" xfId="1" xr:uid="{00000000-0005-0000-0000-000000000000}"/>
    <cellStyle name="Komma0" xfId="2" xr:uid="{00000000-0005-0000-0000-000001000000}"/>
    <cellStyle name="Link" xfId="5" builtinId="8"/>
    <cellStyle name="Normal" xfId="0" builtinId="0"/>
    <cellStyle name="Procent" xfId="3" builtinId="5"/>
    <cellStyle name="Valuta0"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6EAF8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66676</xdr:rowOff>
    </xdr:from>
    <xdr:to>
      <xdr:col>1</xdr:col>
      <xdr:colOff>95250</xdr:colOff>
      <xdr:row>3</xdr:row>
      <xdr:rowOff>33411</xdr:rowOff>
    </xdr:to>
    <xdr:pic>
      <xdr:nvPicPr>
        <xdr:cNvPr id="2" name="Billede 1">
          <a:extLst>
            <a:ext uri="{FF2B5EF4-FFF2-40B4-BE49-F238E27FC236}">
              <a16:creationId xmlns:a16="http://schemas.microsoft.com/office/drawing/2014/main" id="{71D5332C-95F9-40D2-903F-FBFBB75CD28A}"/>
            </a:ext>
          </a:extLst>
        </xdr:cNvPr>
        <xdr:cNvPicPr>
          <a:picLocks noChangeAspect="1"/>
        </xdr:cNvPicPr>
      </xdr:nvPicPr>
      <xdr:blipFill>
        <a:blip xmlns:r="http://schemas.openxmlformats.org/officeDocument/2006/relationships" r:embed="rId1"/>
        <a:stretch>
          <a:fillRect/>
        </a:stretch>
      </xdr:blipFill>
      <xdr:spPr>
        <a:xfrm>
          <a:off x="114300" y="66676"/>
          <a:ext cx="1019175" cy="452510"/>
        </a:xfrm>
        <a:prstGeom prst="rect">
          <a:avLst/>
        </a:prstGeom>
      </xdr:spPr>
    </xdr:pic>
    <xdr:clientData/>
  </xdr:twoCellAnchor>
  <xdr:twoCellAnchor editAs="oneCell">
    <xdr:from>
      <xdr:col>3</xdr:col>
      <xdr:colOff>142876</xdr:colOff>
      <xdr:row>0</xdr:row>
      <xdr:rowOff>85726</xdr:rowOff>
    </xdr:from>
    <xdr:to>
      <xdr:col>9</xdr:col>
      <xdr:colOff>533400</xdr:colOff>
      <xdr:row>3</xdr:row>
      <xdr:rowOff>132811</xdr:rowOff>
    </xdr:to>
    <xdr:pic>
      <xdr:nvPicPr>
        <xdr:cNvPr id="3" name="Billede 2">
          <a:extLst>
            <a:ext uri="{FF2B5EF4-FFF2-40B4-BE49-F238E27FC236}">
              <a16:creationId xmlns:a16="http://schemas.microsoft.com/office/drawing/2014/main" id="{D19F2B2B-1F71-42BC-9D5A-699D535609DC}"/>
            </a:ext>
          </a:extLst>
        </xdr:cNvPr>
        <xdr:cNvPicPr>
          <a:picLocks noChangeAspect="1"/>
        </xdr:cNvPicPr>
      </xdr:nvPicPr>
      <xdr:blipFill>
        <a:blip xmlns:r="http://schemas.openxmlformats.org/officeDocument/2006/relationships" r:embed="rId2"/>
        <a:stretch>
          <a:fillRect/>
        </a:stretch>
      </xdr:blipFill>
      <xdr:spPr>
        <a:xfrm>
          <a:off x="7591426" y="85726"/>
          <a:ext cx="4048124" cy="532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238125</xdr:colOff>
      <xdr:row>1</xdr:row>
      <xdr:rowOff>0</xdr:rowOff>
    </xdr:from>
    <xdr:to>
      <xdr:col>11</xdr:col>
      <xdr:colOff>485775</xdr:colOff>
      <xdr:row>71</xdr:row>
      <xdr:rowOff>38100</xdr:rowOff>
    </xdr:to>
    <xdr:sp macro="" textlink="">
      <xdr:nvSpPr>
        <xdr:cNvPr id="6" name="Tekstfelt 5">
          <a:extLst>
            <a:ext uri="{FF2B5EF4-FFF2-40B4-BE49-F238E27FC236}">
              <a16:creationId xmlns:a16="http://schemas.microsoft.com/office/drawing/2014/main" id="{50F9EC61-15D4-EC65-9D0A-F22FFA3F1446}"/>
            </a:ext>
          </a:extLst>
        </xdr:cNvPr>
        <xdr:cNvSpPr txBox="1"/>
      </xdr:nvSpPr>
      <xdr:spPr>
        <a:xfrm>
          <a:off x="238125" y="161925"/>
          <a:ext cx="6953250" cy="11372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Hvad kan programmet</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Programmerne kan levere et beslutningsgrundlag i form af beregninger i skemaform og en rapport ved investering i stald m.v. ved malkekøer. Endvidere indgår checkliste, instruktion og eksempel. Rapporten er landmandens beslutningsgrundlag og regnearket er dokumentation. Formålet med beslutningsgrundlaget er ikke en detaljeret gennemgang af investeringen med tegninger, tilbud og lånetilsagn mv. Kun de oplysninger, der skal til for at beslutte, om investeringen er værd at arbejde videre med, indgår.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Regnearket</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Indtastninger og Normer</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Det første ark  </a:t>
          </a:r>
          <a:r>
            <a:rPr lang="da-DK" sz="1100" i="1">
              <a:solidFill>
                <a:schemeClr val="dk1"/>
              </a:solidFill>
              <a:effectLst/>
              <a:latin typeface="+mn-lt"/>
              <a:ea typeface="+mn-ea"/>
              <a:cs typeface="+mn-cs"/>
            </a:rPr>
            <a:t>Indtast</a:t>
          </a:r>
          <a:r>
            <a:rPr lang="da-DK" sz="1100" baseline="0">
              <a:solidFill>
                <a:schemeClr val="dk1"/>
              </a:solidFill>
              <a:effectLst/>
              <a:latin typeface="+mn-lt"/>
              <a:ea typeface="+mn-ea"/>
              <a:cs typeface="+mn-cs"/>
            </a:rPr>
            <a:t> </a:t>
          </a:r>
          <a:r>
            <a:rPr lang="da-DK" sz="1100">
              <a:solidFill>
                <a:schemeClr val="dk1"/>
              </a:solidFill>
              <a:effectLst/>
              <a:latin typeface="+mn-lt"/>
              <a:ea typeface="+mn-ea"/>
              <a:cs typeface="+mn-cs"/>
            </a:rPr>
            <a:t>benyttes til at indtaste oplysninger om investeringen, f.eks. navn og adresse, investeringsbeløb, produktionsomfang og finansiering. Når investeringens omfang er angivet, udregnes en række vejledende normer for investeringsbeløb. Disse er til orientering, og investeringsbeløbene skal indtastes. Forholdet mellem egne tal og normen er angivet som en procent. Ved indtastning af budgettal skal fortegn medtages. Det er muligt at korrigere nogle af de vigtigste forudsætninger såsom dækningsbidrag pr. årsko. Der er ikke nogen sammenhæng mellem f.eks. ydelse og  dækningsbidrag.</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De gule celler kan benyttes til indtastning. I nogle af felterne er der indsat en hjælpebemærkning - markeret med en rød trekant i hjørnet af feltet, som kommer frem ved at holde markøren over feltet.</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I samme ark indgår  </a:t>
          </a:r>
          <a:r>
            <a:rPr lang="da-DK" sz="1100" i="1">
              <a:solidFill>
                <a:schemeClr val="dk1"/>
              </a:solidFill>
              <a:effectLst/>
              <a:latin typeface="+mn-lt"/>
              <a:ea typeface="+mn-ea"/>
              <a:cs typeface="+mn-cs"/>
            </a:rPr>
            <a:t>Normer</a:t>
          </a:r>
          <a:r>
            <a:rPr lang="da-DK" sz="1100">
              <a:solidFill>
                <a:schemeClr val="dk1"/>
              </a:solidFill>
              <a:effectLst/>
              <a:latin typeface="+mn-lt"/>
              <a:ea typeface="+mn-ea"/>
              <a:cs typeface="+mn-cs"/>
            </a:rPr>
            <a:t>, som</a:t>
          </a:r>
          <a:r>
            <a:rPr lang="da-DK" sz="1100" i="1">
              <a:solidFill>
                <a:schemeClr val="dk1"/>
              </a:solidFill>
              <a:effectLst/>
              <a:latin typeface="+mn-lt"/>
              <a:ea typeface="+mn-ea"/>
              <a:cs typeface="+mn-cs"/>
            </a:rPr>
            <a:t> </a:t>
          </a:r>
          <a:r>
            <a:rPr lang="da-DK" sz="1100">
              <a:solidFill>
                <a:schemeClr val="dk1"/>
              </a:solidFill>
              <a:effectLst/>
              <a:latin typeface="+mn-lt"/>
              <a:ea typeface="+mn-ea"/>
              <a:cs typeface="+mn-cs"/>
            </a:rPr>
            <a:t>indeholder normtal for dækningsbidrag, vedligeholdelse og arbejdsforbrug. Alle normtal kan overskrives med egne forudsætninger, hvis cellelåsen ophæves. Eksempelvis har vi sat dækningsbidraget pr. årsko til 10.000 kr. Dette tal kan ændres til 11.000 kr., og alle efterfølgende beregninger tager så udgangspunkt i de 11.000 kr.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Resultater</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Det andet ark i regnearket </a:t>
          </a:r>
          <a:r>
            <a:rPr lang="da-DK" sz="1100" i="1">
              <a:solidFill>
                <a:schemeClr val="dk1"/>
              </a:solidFill>
              <a:effectLst/>
              <a:latin typeface="+mn-lt"/>
              <a:ea typeface="+mn-ea"/>
              <a:cs typeface="+mn-cs"/>
            </a:rPr>
            <a:t>Resultater</a:t>
          </a:r>
          <a:r>
            <a:rPr lang="da-DK" sz="1100">
              <a:solidFill>
                <a:schemeClr val="dk1"/>
              </a:solidFill>
              <a:effectLst/>
              <a:latin typeface="+mn-lt"/>
              <a:ea typeface="+mn-ea"/>
              <a:cs typeface="+mn-cs"/>
            </a:rPr>
            <a:t> viser skemaer, som kan kommenteres i tekstdokumentet:</a:t>
          </a:r>
        </a:p>
        <a:p>
          <a:r>
            <a:rPr lang="da-DK" sz="1100" i="1">
              <a:solidFill>
                <a:schemeClr val="dk1"/>
              </a:solidFill>
              <a:effectLst/>
              <a:latin typeface="+mn-lt"/>
              <a:ea typeface="+mn-ea"/>
              <a:cs typeface="+mn-cs"/>
            </a:rPr>
            <a:t>Beskrivelse af investeringen</a:t>
          </a:r>
          <a:r>
            <a:rPr lang="da-DK" sz="1100">
              <a:solidFill>
                <a:schemeClr val="dk1"/>
              </a:solidFill>
              <a:effectLst/>
              <a:latin typeface="+mn-lt"/>
              <a:ea typeface="+mn-ea"/>
              <a:cs typeface="+mn-cs"/>
            </a:rPr>
            <a:t>. Skemaet viser investeringen i alt og pr. enhed fordelt på de forskellige investeringstyper afhængig af levetid og afskrivningsprincip.</a:t>
          </a:r>
        </a:p>
        <a:p>
          <a:r>
            <a:rPr lang="da-DK" sz="1100" i="1">
              <a:solidFill>
                <a:schemeClr val="dk1"/>
              </a:solidFill>
              <a:effectLst/>
              <a:latin typeface="+mn-lt"/>
              <a:ea typeface="+mn-ea"/>
              <a:cs typeface="+mn-cs"/>
            </a:rPr>
            <a:t>Arbejdsforbrug</a:t>
          </a:r>
          <a:r>
            <a:rPr lang="da-DK" sz="1100">
              <a:solidFill>
                <a:schemeClr val="dk1"/>
              </a:solidFill>
              <a:effectLst/>
              <a:latin typeface="+mn-lt"/>
              <a:ea typeface="+mn-ea"/>
              <a:cs typeface="+mn-cs"/>
            </a:rPr>
            <a:t>. Her er der foretaget en beregning af arbejdsforbruget ud fra normtimer og omregnet til antal arbejdspladser (1.800 timer).</a:t>
          </a:r>
        </a:p>
        <a:p>
          <a:r>
            <a:rPr lang="da-DK" sz="1100" i="1">
              <a:solidFill>
                <a:schemeClr val="dk1"/>
              </a:solidFill>
              <a:effectLst/>
              <a:latin typeface="+mn-lt"/>
              <a:ea typeface="+mn-ea"/>
              <a:cs typeface="+mn-cs"/>
            </a:rPr>
            <a:t>Finansiering</a:t>
          </a:r>
          <a:r>
            <a:rPr lang="da-DK" sz="1100">
              <a:solidFill>
                <a:schemeClr val="dk1"/>
              </a:solidFill>
              <a:effectLst/>
              <a:latin typeface="+mn-lt"/>
              <a:ea typeface="+mn-ea"/>
              <a:cs typeface="+mn-cs"/>
            </a:rPr>
            <a:t>. Størrelsen af de forskellige lån, løbetid, rente samt låntype fremgår af dette skema.</a:t>
          </a:r>
        </a:p>
        <a:p>
          <a:br>
            <a:rPr lang="da-DK" sz="1100">
              <a:solidFill>
                <a:schemeClr val="dk1"/>
              </a:solidFill>
              <a:effectLst/>
              <a:latin typeface="+mn-lt"/>
              <a:ea typeface="+mn-ea"/>
              <a:cs typeface="+mn-cs"/>
            </a:rPr>
          </a:br>
          <a:r>
            <a:rPr lang="da-DK" sz="1100" i="1">
              <a:solidFill>
                <a:schemeClr val="dk1"/>
              </a:solidFill>
              <a:effectLst/>
              <a:latin typeface="+mn-lt"/>
              <a:ea typeface="+mn-ea"/>
              <a:cs typeface="+mn-cs"/>
            </a:rPr>
            <a:t>Lønsomhed og følsomhed</a:t>
          </a:r>
          <a:r>
            <a:rPr lang="da-DK" sz="1100">
              <a:solidFill>
                <a:schemeClr val="dk1"/>
              </a:solidFill>
              <a:effectLst/>
              <a:latin typeface="+mn-lt"/>
              <a:ea typeface="+mn-ea"/>
              <a:cs typeface="+mn-cs"/>
            </a:rPr>
            <a:t>. Skemaet med lønsomhed viser den gennemsnitlige årlige indtjening beregnet med og uden skat i faste priser. Arbejdsforbrug og kapacitetsomkostninger i øvrigt kan stige mere end inflationen, hvis dette indberettes.</a:t>
          </a:r>
        </a:p>
        <a:p>
          <a:endParaRPr lang="da-DK" sz="1100" i="1">
            <a:solidFill>
              <a:schemeClr val="dk1"/>
            </a:solidFill>
            <a:effectLst/>
            <a:latin typeface="+mn-lt"/>
            <a:ea typeface="+mn-ea"/>
            <a:cs typeface="+mn-cs"/>
          </a:endParaRPr>
        </a:p>
        <a:p>
          <a:r>
            <a:rPr lang="da-DK" sz="1100" i="1">
              <a:solidFill>
                <a:schemeClr val="dk1"/>
              </a:solidFill>
              <a:effectLst/>
              <a:latin typeface="+mn-lt"/>
              <a:ea typeface="+mn-ea"/>
              <a:cs typeface="+mn-cs"/>
            </a:rPr>
            <a:t>Resultat og likviditet</a:t>
          </a:r>
          <a:r>
            <a:rPr lang="da-DK" sz="1100">
              <a:solidFill>
                <a:schemeClr val="dk1"/>
              </a:solidFill>
              <a:effectLst/>
              <a:latin typeface="+mn-lt"/>
              <a:ea typeface="+mn-ea"/>
              <a:cs typeface="+mn-cs"/>
            </a:rPr>
            <a:t>. Dette skema tager udgangspunkt i produktion og budget for nudriften. Investeringens budgetmæssige virkning første og andet år tillægges, så indtjening og likviditet efter investeringen kan beregnes. Første år indeholder det indkøringstab, der er indberettet, mens det andet år er normalår. Investeringen er opstillet som gennemsnitlige priser for hele investeringsperioden. Afvigelser i forhold til aktuelle priser illustreres ved de følsomhedsanalyser, der er vist nederst i skemaet.</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De følgende ark er at betragte som beregnings- og hjælpeskemaer til arket </a:t>
          </a:r>
        </a:p>
        <a:p>
          <a:r>
            <a:rPr lang="da-DK" sz="1100" b="1" i="1">
              <a:solidFill>
                <a:schemeClr val="dk1"/>
              </a:solidFill>
              <a:effectLst/>
              <a:latin typeface="+mn-lt"/>
              <a:ea typeface="+mn-ea"/>
              <a:cs typeface="+mn-cs"/>
            </a:rPr>
            <a:t> </a:t>
          </a:r>
          <a:endParaRPr lang="da-DK" sz="1100">
            <a:solidFill>
              <a:schemeClr val="dk1"/>
            </a:solidFill>
            <a:effectLst/>
            <a:latin typeface="+mn-lt"/>
            <a:ea typeface="+mn-ea"/>
            <a:cs typeface="+mn-cs"/>
          </a:endParaRPr>
        </a:p>
        <a:p>
          <a:r>
            <a:rPr lang="da-DK" sz="1100" b="1" i="1">
              <a:solidFill>
                <a:schemeClr val="dk1"/>
              </a:solidFill>
              <a:effectLst/>
              <a:latin typeface="+mn-lt"/>
              <a:ea typeface="+mn-ea"/>
              <a:cs typeface="+mn-cs"/>
            </a:rPr>
            <a:t>Resultater</a:t>
          </a:r>
          <a:r>
            <a:rPr lang="da-DK" sz="1100" i="1">
              <a:solidFill>
                <a:schemeClr val="dk1"/>
              </a:solidFill>
              <a:effectLst/>
              <a:latin typeface="+mn-lt"/>
              <a:ea typeface="+mn-ea"/>
              <a:cs typeface="+mn-cs"/>
            </a:rPr>
            <a:t>.</a:t>
          </a:r>
          <a:endParaRPr lang="da-DK" sz="1100">
            <a:solidFill>
              <a:schemeClr val="dk1"/>
            </a:solidFill>
            <a:effectLst/>
            <a:latin typeface="+mn-lt"/>
            <a:ea typeface="+mn-ea"/>
            <a:cs typeface="+mn-cs"/>
          </a:endParaRPr>
        </a:p>
        <a:p>
          <a:r>
            <a:rPr lang="da-DK" sz="1100" i="1">
              <a:solidFill>
                <a:schemeClr val="dk1"/>
              </a:solidFill>
              <a:effectLst/>
              <a:latin typeface="+mn-lt"/>
              <a:ea typeface="+mn-ea"/>
              <a:cs typeface="+mn-cs"/>
            </a:rPr>
            <a:t>3 års oversigt og investering</a:t>
          </a:r>
          <a:r>
            <a:rPr lang="da-DK" sz="1100">
              <a:solidFill>
                <a:schemeClr val="dk1"/>
              </a:solidFill>
              <a:effectLst/>
              <a:latin typeface="+mn-lt"/>
              <a:ea typeface="+mn-ea"/>
              <a:cs typeface="+mn-cs"/>
            </a:rPr>
            <a:t> er en mere detaljeret udskrift af skemaet</a:t>
          </a:r>
          <a:r>
            <a:rPr lang="da-DK" sz="1100" i="1">
              <a:solidFill>
                <a:schemeClr val="dk1"/>
              </a:solidFill>
              <a:effectLst/>
              <a:latin typeface="+mn-lt"/>
              <a:ea typeface="+mn-ea"/>
              <a:cs typeface="+mn-cs"/>
            </a:rPr>
            <a:t> Resultat og likviditet</a:t>
          </a:r>
          <a:r>
            <a:rPr lang="da-DK" sz="1100">
              <a:solidFill>
                <a:schemeClr val="dk1"/>
              </a:solidFill>
              <a:effectLst/>
              <a:latin typeface="+mn-lt"/>
              <a:ea typeface="+mn-ea"/>
              <a:cs typeface="+mn-cs"/>
            </a:rPr>
            <a:t>, hvor bl.a  de forskellige omkostningsarter er specificeret.</a:t>
          </a:r>
        </a:p>
        <a:p>
          <a:endParaRPr lang="da-DK" sz="1100" i="1">
            <a:solidFill>
              <a:schemeClr val="dk1"/>
            </a:solidFill>
            <a:effectLst/>
            <a:latin typeface="+mn-lt"/>
            <a:ea typeface="+mn-ea"/>
            <a:cs typeface="+mn-cs"/>
          </a:endParaRPr>
        </a:p>
        <a:p>
          <a:r>
            <a:rPr lang="da-DK" sz="1100" i="1">
              <a:solidFill>
                <a:schemeClr val="dk1"/>
              </a:solidFill>
              <a:effectLst/>
              <a:latin typeface="+mn-lt"/>
              <a:ea typeface="+mn-ea"/>
              <a:cs typeface="+mn-cs"/>
            </a:rPr>
            <a:t>3 års</a:t>
          </a:r>
          <a:r>
            <a:rPr lang="da-DK" sz="1100">
              <a:solidFill>
                <a:schemeClr val="dk1"/>
              </a:solidFill>
              <a:effectLst/>
              <a:latin typeface="+mn-lt"/>
              <a:ea typeface="+mn-ea"/>
              <a:cs typeface="+mn-cs"/>
            </a:rPr>
            <a:t> oversigt er en udskrift af tre års budgettal.</a:t>
          </a:r>
        </a:p>
        <a:p>
          <a:endParaRPr lang="da-DK" sz="1100" i="1">
            <a:solidFill>
              <a:schemeClr val="dk1"/>
            </a:solidFill>
            <a:effectLst/>
            <a:latin typeface="+mn-lt"/>
            <a:ea typeface="+mn-ea"/>
            <a:cs typeface="+mn-cs"/>
          </a:endParaRPr>
        </a:p>
        <a:p>
          <a:r>
            <a:rPr lang="da-DK" sz="1100" i="1">
              <a:solidFill>
                <a:schemeClr val="dk1"/>
              </a:solidFill>
              <a:effectLst/>
              <a:latin typeface="+mn-lt"/>
              <a:ea typeface="+mn-ea"/>
              <a:cs typeface="+mn-cs"/>
            </a:rPr>
            <a:t>Investering-beregninger</a:t>
          </a:r>
          <a:r>
            <a:rPr lang="da-DK" sz="1100">
              <a:solidFill>
                <a:schemeClr val="dk1"/>
              </a:solidFill>
              <a:effectLst/>
              <a:latin typeface="+mn-lt"/>
              <a:ea typeface="+mn-ea"/>
              <a:cs typeface="+mn-cs"/>
            </a:rPr>
            <a:t> viser forrentning og afskrivning af de investerede beløb opdelt på arter: Driftsbygninger, inventar etc. Forrentning og afskrivning er vist som procent af investeringsbeløbet.</a:t>
          </a:r>
        </a:p>
        <a:p>
          <a:endParaRPr lang="da-DK" sz="1100" i="1">
            <a:solidFill>
              <a:schemeClr val="dk1"/>
            </a:solidFill>
            <a:effectLst/>
            <a:latin typeface="+mn-lt"/>
            <a:ea typeface="+mn-ea"/>
            <a:cs typeface="+mn-cs"/>
          </a:endParaRPr>
        </a:p>
        <a:p>
          <a:r>
            <a:rPr lang="da-DK" sz="1100" i="1">
              <a:solidFill>
                <a:schemeClr val="dk1"/>
              </a:solidFill>
              <a:effectLst/>
              <a:latin typeface="+mn-lt"/>
              <a:ea typeface="+mn-ea"/>
              <a:cs typeface="+mn-cs"/>
            </a:rPr>
            <a:t>Finansiering</a:t>
          </a:r>
          <a:r>
            <a:rPr lang="da-DK" sz="1100">
              <a:solidFill>
                <a:schemeClr val="dk1"/>
              </a:solidFill>
              <a:effectLst/>
              <a:latin typeface="+mn-lt"/>
              <a:ea typeface="+mn-ea"/>
              <a:cs typeface="+mn-cs"/>
            </a:rPr>
            <a:t> viser ydelsen på lånene fordelt på renter og afdrag de første fire år. Endvidere er det opstilles et skema til beregning af pay-back perioden inklusive forrentning.</a:t>
          </a:r>
        </a:p>
        <a:p>
          <a:endParaRPr lang="da-DK" sz="1100"/>
        </a:p>
      </xdr:txBody>
    </xdr:sp>
    <xdr:clientData/>
  </xdr:twoCellAnchor>
  <xdr:twoCellAnchor editAs="oneCell">
    <xdr:from>
      <xdr:col>0</xdr:col>
      <xdr:colOff>485775</xdr:colOff>
      <xdr:row>2</xdr:row>
      <xdr:rowOff>152400</xdr:rowOff>
    </xdr:from>
    <xdr:to>
      <xdr:col>2</xdr:col>
      <xdr:colOff>361813</xdr:colOff>
      <xdr:row>6</xdr:row>
      <xdr:rowOff>38033</xdr:rowOff>
    </xdr:to>
    <xdr:pic>
      <xdr:nvPicPr>
        <xdr:cNvPr id="7" name="Billede 6">
          <a:extLst>
            <a:ext uri="{FF2B5EF4-FFF2-40B4-BE49-F238E27FC236}">
              <a16:creationId xmlns:a16="http://schemas.microsoft.com/office/drawing/2014/main" id="{91D314BF-F3D6-E5F5-56FE-C784C5B7383D}"/>
            </a:ext>
          </a:extLst>
        </xdr:cNvPr>
        <xdr:cNvPicPr>
          <a:picLocks noChangeAspect="1"/>
        </xdr:cNvPicPr>
      </xdr:nvPicPr>
      <xdr:blipFill>
        <a:blip xmlns:r="http://schemas.openxmlformats.org/officeDocument/2006/relationships" r:embed="rId1"/>
        <a:stretch>
          <a:fillRect/>
        </a:stretch>
      </xdr:blipFill>
      <xdr:spPr>
        <a:xfrm>
          <a:off x="485775" y="476250"/>
          <a:ext cx="1095238" cy="533333"/>
        </a:xfrm>
        <a:prstGeom prst="rect">
          <a:avLst/>
        </a:prstGeom>
      </xdr:spPr>
    </xdr:pic>
    <xdr:clientData/>
  </xdr:twoCellAnchor>
  <xdr:twoCellAnchor editAs="oneCell">
    <xdr:from>
      <xdr:col>4</xdr:col>
      <xdr:colOff>466725</xdr:colOff>
      <xdr:row>2</xdr:row>
      <xdr:rowOff>90759</xdr:rowOff>
    </xdr:from>
    <xdr:to>
      <xdr:col>11</xdr:col>
      <xdr:colOff>288048</xdr:colOff>
      <xdr:row>5</xdr:row>
      <xdr:rowOff>143162</xdr:rowOff>
    </xdr:to>
    <xdr:pic>
      <xdr:nvPicPr>
        <xdr:cNvPr id="3" name="Billede 2">
          <a:extLst>
            <a:ext uri="{FF2B5EF4-FFF2-40B4-BE49-F238E27FC236}">
              <a16:creationId xmlns:a16="http://schemas.microsoft.com/office/drawing/2014/main" id="{A7DB5B5F-FF5B-47E8-B370-6A0124B31AA9}"/>
            </a:ext>
          </a:extLst>
        </xdr:cNvPr>
        <xdr:cNvPicPr>
          <a:picLocks noChangeAspect="1"/>
        </xdr:cNvPicPr>
      </xdr:nvPicPr>
      <xdr:blipFill>
        <a:blip xmlns:r="http://schemas.openxmlformats.org/officeDocument/2006/relationships" r:embed="rId2"/>
        <a:stretch>
          <a:fillRect/>
        </a:stretch>
      </xdr:blipFill>
      <xdr:spPr>
        <a:xfrm>
          <a:off x="2905125" y="414609"/>
          <a:ext cx="4088523" cy="5381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1429872</xdr:colOff>
      <xdr:row>0</xdr:row>
      <xdr:rowOff>95250</xdr:rowOff>
    </xdr:from>
    <xdr:to>
      <xdr:col>6</xdr:col>
      <xdr:colOff>560463</xdr:colOff>
      <xdr:row>0</xdr:row>
      <xdr:rowOff>400049</xdr:rowOff>
    </xdr:to>
    <xdr:pic>
      <xdr:nvPicPr>
        <xdr:cNvPr id="3" name="Billede 2">
          <a:extLst>
            <a:ext uri="{FF2B5EF4-FFF2-40B4-BE49-F238E27FC236}">
              <a16:creationId xmlns:a16="http://schemas.microsoft.com/office/drawing/2014/main" id="{7183C4A6-E71E-1BE5-FE6F-C2710A5E9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1322" y="95250"/>
          <a:ext cx="2511966" cy="304799"/>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landbrugsinfo.dk/public/e/c/b/finansiering_sadan_bruges_investeringsoversigten" TargetMode="External"/><Relationship Id="rId1" Type="http://schemas.openxmlformats.org/officeDocument/2006/relationships/hyperlink" Target="https://www.landbrugsinfo.dk/public/2/1/8/abonnement_om_landbrugsinf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4C1F9-A1C6-48A3-9DB4-7D68569BD643}">
  <dimension ref="B5:D12"/>
  <sheetViews>
    <sheetView tabSelected="1" workbookViewId="0">
      <selection activeCell="B21" sqref="B21"/>
    </sheetView>
  </sheetViews>
  <sheetFormatPr defaultColWidth="9.140625" defaultRowHeight="12.75" x14ac:dyDescent="0.2"/>
  <cols>
    <col min="1" max="1" width="15.5703125" style="397" customWidth="1"/>
    <col min="2" max="2" width="33.85546875" style="397" customWidth="1"/>
    <col min="3" max="3" width="62.28515625" style="397" customWidth="1"/>
    <col min="4" max="16384" width="9.140625" style="397"/>
  </cols>
  <sheetData>
    <row r="5" spans="2:4" x14ac:dyDescent="0.2">
      <c r="B5" s="399" t="s">
        <v>283</v>
      </c>
      <c r="C5" s="400" t="s">
        <v>284</v>
      </c>
    </row>
    <row r="6" spans="2:4" x14ac:dyDescent="0.2">
      <c r="B6" s="400"/>
      <c r="C6" s="400" t="s">
        <v>294</v>
      </c>
    </row>
    <row r="7" spans="2:4" x14ac:dyDescent="0.2">
      <c r="B7" s="400" t="s">
        <v>285</v>
      </c>
      <c r="C7" s="401">
        <v>44915</v>
      </c>
    </row>
    <row r="8" spans="2:4" x14ac:dyDescent="0.2">
      <c r="B8" s="400" t="s">
        <v>286</v>
      </c>
      <c r="C8" s="400" t="s">
        <v>295</v>
      </c>
    </row>
    <row r="9" spans="2:4" x14ac:dyDescent="0.2">
      <c r="B9" s="400" t="s">
        <v>287</v>
      </c>
      <c r="C9" s="400" t="s">
        <v>288</v>
      </c>
    </row>
    <row r="10" spans="2:4" x14ac:dyDescent="0.2">
      <c r="B10" s="400" t="s">
        <v>289</v>
      </c>
      <c r="C10" s="400" t="s">
        <v>290</v>
      </c>
    </row>
    <row r="11" spans="2:4" ht="15" x14ac:dyDescent="0.25">
      <c r="B11" s="402" t="s">
        <v>291</v>
      </c>
      <c r="C11" s="403" t="s">
        <v>296</v>
      </c>
      <c r="D11" s="398"/>
    </row>
    <row r="12" spans="2:4" x14ac:dyDescent="0.2">
      <c r="B12" s="400" t="s">
        <v>292</v>
      </c>
      <c r="C12" s="404" t="s">
        <v>293</v>
      </c>
    </row>
  </sheetData>
  <hyperlinks>
    <hyperlink ref="C12" r:id="rId1" xr:uid="{D21044E0-F392-4C8D-8FF8-2520E2303B37}"/>
    <hyperlink ref="C11" r:id="rId2" xr:uid="{86814916-F790-4131-B87A-CC65A6028D51}"/>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5CA0F-00AC-4512-B728-9E496AA43270}">
  <dimension ref="A1"/>
  <sheetViews>
    <sheetView showGridLines="0" zoomScaleNormal="100" workbookViewId="0">
      <selection activeCell="N7" sqref="N7"/>
    </sheetView>
  </sheetViews>
  <sheetFormatPr defaultRowHeight="12.75" x14ac:dyDescent="0.2"/>
  <cols>
    <col min="1" max="16384" width="9.140625" style="393"/>
  </cols>
  <sheetData/>
  <pageMargins left="0.7" right="0.7" top="0.75" bottom="0.75" header="0.3" footer="0.3"/>
  <pageSetup paperSize="9" scale="81" orientation="portrait" r:id="rId1"/>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B142"/>
  <sheetViews>
    <sheetView showGridLines="0" showZeros="0" zoomScaleNormal="100" workbookViewId="0">
      <selection activeCell="N27" sqref="N27"/>
    </sheetView>
  </sheetViews>
  <sheetFormatPr defaultColWidth="8.7109375" defaultRowHeight="12.75" x14ac:dyDescent="0.2"/>
  <cols>
    <col min="1" max="1" width="2.5703125" style="30" customWidth="1"/>
    <col min="2" max="2" width="26.42578125" style="30" customWidth="1"/>
    <col min="3" max="3" width="8.7109375" style="30" hidden="1" customWidth="1"/>
    <col min="4" max="4" width="12.42578125" style="30" customWidth="1"/>
    <col min="5" max="5" width="11.85546875" style="61" customWidth="1"/>
    <col min="6" max="6" width="8.7109375" style="30" hidden="1" customWidth="1"/>
    <col min="7" max="9" width="9.28515625" style="30" customWidth="1"/>
    <col min="10" max="10" width="9.42578125" style="30" customWidth="1"/>
    <col min="11" max="11" width="3.7109375" style="61" customWidth="1"/>
    <col min="12" max="12" width="6.85546875" style="30" customWidth="1"/>
    <col min="13" max="197" width="9.140625" style="30" customWidth="1"/>
    <col min="198" max="16384" width="8.7109375" style="30"/>
  </cols>
  <sheetData>
    <row r="1" spans="2:210" ht="37.5" customHeight="1" x14ac:dyDescent="0.2"/>
    <row r="2" spans="2:210" ht="39" x14ac:dyDescent="0.2">
      <c r="B2" s="80" t="s">
        <v>253</v>
      </c>
      <c r="C2" s="79"/>
      <c r="D2" s="79"/>
      <c r="E2" s="79"/>
      <c r="F2" s="79"/>
      <c r="G2" s="81"/>
      <c r="H2" s="81"/>
      <c r="I2" s="81"/>
      <c r="J2" s="339" t="s">
        <v>0</v>
      </c>
      <c r="K2" s="29"/>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c r="GH2" s="31"/>
      <c r="GI2" s="31"/>
      <c r="GJ2" s="31"/>
      <c r="GK2" s="31"/>
      <c r="GL2" s="31"/>
      <c r="GM2" s="31"/>
      <c r="GN2" s="31"/>
      <c r="GO2" s="31"/>
      <c r="GP2" s="31"/>
      <c r="GQ2" s="31"/>
      <c r="GR2" s="31"/>
      <c r="GS2" s="31"/>
      <c r="GT2" s="31"/>
      <c r="GU2" s="31"/>
      <c r="GV2" s="31"/>
      <c r="GW2" s="31"/>
      <c r="GX2" s="31"/>
      <c r="GY2" s="31"/>
      <c r="GZ2" s="31"/>
      <c r="HA2" s="31"/>
      <c r="HB2" s="31"/>
    </row>
    <row r="3" spans="2:210" x14ac:dyDescent="0.2">
      <c r="B3" s="32"/>
      <c r="C3" s="32"/>
      <c r="D3" s="32"/>
      <c r="E3" s="32"/>
      <c r="F3" s="32"/>
      <c r="G3" s="32"/>
      <c r="H3" s="33"/>
      <c r="I3" s="33"/>
      <c r="J3" s="33"/>
      <c r="K3" s="32"/>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row>
    <row r="4" spans="2:210" s="21" customFormat="1" ht="15.75" customHeight="1" x14ac:dyDescent="0.2">
      <c r="B4" s="405" t="s">
        <v>254</v>
      </c>
      <c r="C4" s="405"/>
      <c r="D4" s="405"/>
      <c r="E4" s="405"/>
      <c r="F4" s="405"/>
      <c r="G4" s="405"/>
      <c r="H4" s="405"/>
      <c r="I4" s="405"/>
      <c r="J4" s="2"/>
      <c r="K4" s="24"/>
    </row>
    <row r="5" spans="2:210" s="21" customFormat="1" ht="15.75" x14ac:dyDescent="0.25">
      <c r="B5" s="4"/>
      <c r="C5" s="2"/>
      <c r="D5" s="2"/>
      <c r="E5" s="3"/>
      <c r="F5" s="2"/>
      <c r="G5" s="7"/>
      <c r="H5" s="2"/>
      <c r="I5" s="4"/>
      <c r="J5" s="2"/>
      <c r="K5" s="24"/>
    </row>
    <row r="6" spans="2:210" s="21" customFormat="1" ht="15.75" x14ac:dyDescent="0.25">
      <c r="B6" s="22" t="s">
        <v>1</v>
      </c>
      <c r="C6" s="2"/>
      <c r="D6" s="342"/>
      <c r="E6" s="343"/>
      <c r="F6" s="343"/>
      <c r="G6" s="343"/>
      <c r="H6" s="343"/>
      <c r="I6" s="343"/>
      <c r="J6" s="2"/>
      <c r="K6" s="24"/>
    </row>
    <row r="7" spans="2:210" s="21" customFormat="1" ht="15.75" x14ac:dyDescent="0.25">
      <c r="B7" s="22" t="s">
        <v>2</v>
      </c>
      <c r="C7" s="2"/>
      <c r="D7" s="342"/>
      <c r="E7" s="343"/>
      <c r="F7" s="343"/>
      <c r="G7" s="343"/>
      <c r="H7" s="343"/>
      <c r="I7" s="343"/>
      <c r="J7" s="2"/>
      <c r="K7" s="24"/>
    </row>
    <row r="8" spans="2:210" s="21" customFormat="1" ht="15.75" x14ac:dyDescent="0.25">
      <c r="B8" s="22" t="s">
        <v>3</v>
      </c>
      <c r="C8" s="2"/>
      <c r="D8" s="342"/>
      <c r="E8" s="343"/>
      <c r="F8" s="343"/>
      <c r="G8" s="343"/>
      <c r="H8" s="343"/>
      <c r="I8" s="343"/>
      <c r="J8" s="2"/>
      <c r="K8" s="24"/>
    </row>
    <row r="9" spans="2:210" s="21" customFormat="1" ht="15.75" x14ac:dyDescent="0.25">
      <c r="B9" s="22" t="s">
        <v>4</v>
      </c>
      <c r="C9" s="2"/>
      <c r="D9" s="412"/>
      <c r="E9" s="412"/>
      <c r="F9" s="412"/>
      <c r="G9" s="343"/>
      <c r="H9" s="343"/>
      <c r="I9" s="343"/>
      <c r="J9" s="2"/>
      <c r="K9" s="24"/>
    </row>
    <row r="10" spans="2:210" s="21" customFormat="1" ht="15.75" x14ac:dyDescent="0.25">
      <c r="B10" s="35" t="s">
        <v>5</v>
      </c>
      <c r="C10" s="4"/>
      <c r="D10" s="344">
        <v>2023</v>
      </c>
      <c r="E10" s="78"/>
      <c r="F10" s="78"/>
      <c r="G10" s="78"/>
      <c r="H10" s="78"/>
      <c r="I10" s="78"/>
      <c r="J10" s="2"/>
      <c r="K10" s="24"/>
    </row>
    <row r="11" spans="2:210" s="21" customFormat="1" ht="15.75" x14ac:dyDescent="0.25">
      <c r="B11" s="36"/>
      <c r="C11" s="2"/>
      <c r="D11" s="35"/>
      <c r="E11" s="25"/>
      <c r="F11" s="4"/>
      <c r="G11" s="4"/>
      <c r="H11" s="4"/>
      <c r="I11" s="4"/>
      <c r="J11" s="2"/>
      <c r="K11" s="24"/>
    </row>
    <row r="12" spans="2:210" s="21" customFormat="1" ht="23.1" customHeight="1" x14ac:dyDescent="0.35">
      <c r="B12" s="413" t="s">
        <v>267</v>
      </c>
      <c r="C12" s="413"/>
      <c r="D12" s="413"/>
      <c r="E12" s="413"/>
      <c r="F12" s="413"/>
      <c r="G12" s="413"/>
      <c r="H12" s="413"/>
      <c r="I12" s="413"/>
      <c r="J12" s="340"/>
      <c r="K12" s="2"/>
    </row>
    <row r="13" spans="2:210" s="21" customFormat="1" x14ac:dyDescent="0.2">
      <c r="B13" s="4"/>
      <c r="C13" s="2"/>
      <c r="D13" s="37">
        <f>IF(D14&gt;0,D14,D15)</f>
        <v>500</v>
      </c>
      <c r="E13" s="38"/>
      <c r="F13" s="2"/>
      <c r="G13" s="38"/>
      <c r="H13" s="2"/>
      <c r="I13" s="4"/>
      <c r="J13" s="2"/>
      <c r="K13" s="24"/>
    </row>
    <row r="14" spans="2:210" s="21" customFormat="1" ht="15" x14ac:dyDescent="0.25">
      <c r="B14" s="68" t="s">
        <v>6</v>
      </c>
      <c r="C14" s="75"/>
      <c r="D14" s="98">
        <v>500</v>
      </c>
      <c r="E14" s="10" t="s">
        <v>7</v>
      </c>
      <c r="F14" s="9"/>
      <c r="G14" s="11"/>
      <c r="H14" s="11"/>
      <c r="I14" s="8"/>
      <c r="J14" s="1"/>
      <c r="K14" s="1"/>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row>
    <row r="15" spans="2:210" s="21" customFormat="1" ht="15" x14ac:dyDescent="0.25">
      <c r="B15" s="68" t="s">
        <v>8</v>
      </c>
      <c r="C15" s="75"/>
      <c r="D15" s="99">
        <v>250</v>
      </c>
      <c r="E15" s="10" t="s">
        <v>7</v>
      </c>
      <c r="F15" s="9"/>
      <c r="G15" s="11"/>
      <c r="H15" s="11"/>
      <c r="I15" s="12"/>
      <c r="J15" s="1"/>
      <c r="K15" s="1"/>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row>
    <row r="16" spans="2:210" s="21" customFormat="1" ht="15" x14ac:dyDescent="0.2">
      <c r="B16" s="68" t="s">
        <v>9</v>
      </c>
      <c r="C16" s="75"/>
      <c r="D16" s="99">
        <v>125</v>
      </c>
      <c r="E16" s="10" t="s">
        <v>10</v>
      </c>
      <c r="F16" s="9"/>
      <c r="G16" s="13"/>
      <c r="H16" s="9"/>
      <c r="I16" s="8"/>
      <c r="J16" s="1"/>
      <c r="K16" s="1"/>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row>
    <row r="17" spans="2:209" s="21" customFormat="1" ht="15.75" customHeight="1" x14ac:dyDescent="0.25">
      <c r="B17" s="414" t="s">
        <v>11</v>
      </c>
      <c r="C17" s="414"/>
      <c r="D17" s="414"/>
      <c r="E17" s="414"/>
      <c r="F17" s="414"/>
      <c r="G17" s="414"/>
      <c r="H17" s="414"/>
      <c r="I17" s="414"/>
      <c r="J17" s="2"/>
      <c r="K17" s="2"/>
    </row>
    <row r="18" spans="2:209" s="21" customFormat="1" ht="15" x14ac:dyDescent="0.25">
      <c r="B18" s="14" t="s">
        <v>12</v>
      </c>
      <c r="C18" s="11"/>
      <c r="D18" s="15" t="s">
        <v>13</v>
      </c>
      <c r="E18" s="15" t="s">
        <v>264</v>
      </c>
      <c r="F18" s="18" t="s">
        <v>266</v>
      </c>
      <c r="G18" s="16"/>
      <c r="H18" s="11"/>
      <c r="I18" s="12"/>
      <c r="J18" s="2"/>
      <c r="K18" s="24"/>
    </row>
    <row r="19" spans="2:209" s="21" customFormat="1" ht="15" x14ac:dyDescent="0.25">
      <c r="B19" s="68" t="s">
        <v>15</v>
      </c>
      <c r="C19" s="68">
        <f>IF(D19&gt;0,D19,E19)</f>
        <v>11000</v>
      </c>
      <c r="D19" s="69">
        <v>11000</v>
      </c>
      <c r="E19" s="390">
        <f>IF(D16&gt;0,D16*J117/1000,0)</f>
        <v>15625</v>
      </c>
      <c r="F19" s="11"/>
      <c r="G19" s="11" t="s">
        <v>16</v>
      </c>
      <c r="H19" s="17"/>
      <c r="I19" s="12"/>
      <c r="J19" s="2"/>
      <c r="K19" s="24"/>
    </row>
    <row r="20" spans="2:209" s="21" customFormat="1" ht="15" x14ac:dyDescent="0.25">
      <c r="B20" s="68" t="s">
        <v>17</v>
      </c>
      <c r="C20" s="68">
        <f>IF(D20&gt;0,D20,E20)</f>
        <v>25000</v>
      </c>
      <c r="D20" s="69">
        <v>25000</v>
      </c>
      <c r="E20" s="74">
        <f>(D$14*J84+D$15*J103)/1000</f>
        <v>17750</v>
      </c>
      <c r="F20" s="9"/>
      <c r="G20" s="18"/>
      <c r="H20" s="17"/>
      <c r="I20" s="8"/>
      <c r="J20" s="1"/>
      <c r="K20" s="1"/>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row>
    <row r="21" spans="2:209" s="21" customFormat="1" ht="15" x14ac:dyDescent="0.25">
      <c r="B21" s="68" t="s">
        <v>18</v>
      </c>
      <c r="C21" s="68">
        <f>IF(D21&gt;0,D21,E21)</f>
        <v>5875</v>
      </c>
      <c r="D21" s="69"/>
      <c r="E21" s="74">
        <f>(D$14*J85+D$15*J104)/1000</f>
        <v>5875</v>
      </c>
      <c r="F21" s="9"/>
      <c r="G21" s="18"/>
      <c r="H21" s="17"/>
      <c r="I21" s="8"/>
      <c r="J21" s="1"/>
      <c r="K21" s="1"/>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row>
    <row r="22" spans="2:209" s="21" customFormat="1" ht="15" x14ac:dyDescent="0.25">
      <c r="B22" s="68" t="s">
        <v>19</v>
      </c>
      <c r="C22" s="68">
        <f>IF(D22&gt;0,D22,E22)</f>
        <v>5000</v>
      </c>
      <c r="D22" s="69"/>
      <c r="E22" s="74">
        <f>(D$14*J86+D$15*J105)/1000</f>
        <v>5000</v>
      </c>
      <c r="F22" s="9"/>
      <c r="G22" s="18"/>
      <c r="H22" s="17"/>
      <c r="I22" s="8"/>
      <c r="J22" s="1"/>
      <c r="K22" s="1"/>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row>
    <row r="23" spans="2:209" s="21" customFormat="1" ht="15" x14ac:dyDescent="0.25">
      <c r="B23" s="68" t="s">
        <v>20</v>
      </c>
      <c r="C23" s="68">
        <f>D23</f>
        <v>3100</v>
      </c>
      <c r="D23" s="71">
        <f>((D14*(2*C65-G68-G69)+D15*D133*(C71-D104))/1000)</f>
        <v>3100</v>
      </c>
      <c r="E23" s="74">
        <f>D23</f>
        <v>3100</v>
      </c>
      <c r="F23" s="9"/>
      <c r="G23" s="18"/>
      <c r="H23" s="17"/>
      <c r="I23" s="8"/>
      <c r="J23" s="1"/>
      <c r="K23" s="1"/>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row>
    <row r="24" spans="2:209" s="21" customFormat="1" ht="15" x14ac:dyDescent="0.25">
      <c r="B24" s="68" t="s">
        <v>21</v>
      </c>
      <c r="C24" s="68">
        <f>IF(D24&gt;0,D24,E24)</f>
        <v>1169</v>
      </c>
      <c r="D24" s="72"/>
      <c r="E24" s="74">
        <f>ROUND(SUM(C20:C23)*D134,0)</f>
        <v>1169</v>
      </c>
      <c r="F24" s="9"/>
      <c r="G24" s="18"/>
      <c r="H24" s="17"/>
      <c r="I24" s="8"/>
      <c r="J24" s="1"/>
      <c r="K24" s="1"/>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row>
    <row r="25" spans="2:209" s="21" customFormat="1" ht="15" x14ac:dyDescent="0.2">
      <c r="B25" s="73" t="s">
        <v>22</v>
      </c>
      <c r="C25" s="68"/>
      <c r="D25" s="70">
        <f>SUM(C19:C24)</f>
        <v>51144</v>
      </c>
      <c r="E25" s="74">
        <f>SUM(E19:E24)</f>
        <v>48519</v>
      </c>
      <c r="F25" s="8"/>
      <c r="G25" s="19"/>
      <c r="H25" s="20"/>
      <c r="I25" s="8"/>
      <c r="J25" s="1"/>
      <c r="K25" s="1"/>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row>
    <row r="26" spans="2:209" s="21" customFormat="1" x14ac:dyDescent="0.2">
      <c r="B26" s="2"/>
      <c r="C26" s="2"/>
      <c r="D26" s="2"/>
      <c r="E26" s="2"/>
      <c r="F26" s="24"/>
      <c r="G26" s="2"/>
      <c r="H26" s="2"/>
      <c r="I26" s="2"/>
      <c r="J26" s="2"/>
      <c r="K26" s="2"/>
    </row>
    <row r="27" spans="2:209" s="21" customFormat="1" ht="23.1" customHeight="1" x14ac:dyDescent="0.35">
      <c r="B27" s="415" t="s">
        <v>268</v>
      </c>
      <c r="C27" s="415"/>
      <c r="D27" s="415"/>
      <c r="E27" s="415"/>
      <c r="F27" s="415"/>
      <c r="G27" s="415"/>
      <c r="H27" s="415"/>
      <c r="I27" s="4"/>
      <c r="J27" s="2"/>
      <c r="K27" s="2"/>
    </row>
    <row r="28" spans="2:209" s="21" customFormat="1" x14ac:dyDescent="0.2">
      <c r="B28" s="4"/>
      <c r="C28" s="2"/>
      <c r="D28" s="24" t="s">
        <v>23</v>
      </c>
      <c r="E28" s="2" t="s">
        <v>24</v>
      </c>
      <c r="F28" s="2"/>
      <c r="G28" s="2" t="s">
        <v>25</v>
      </c>
      <c r="H28" s="2" t="s">
        <v>26</v>
      </c>
      <c r="I28" s="4"/>
      <c r="J28" s="2"/>
      <c r="K28" s="25"/>
    </row>
    <row r="29" spans="2:209" s="21" customFormat="1" ht="15" x14ac:dyDescent="0.25">
      <c r="B29" s="62" t="s">
        <v>27</v>
      </c>
      <c r="C29" s="63"/>
      <c r="D29" s="64">
        <v>40000</v>
      </c>
      <c r="E29" s="65">
        <v>20</v>
      </c>
      <c r="F29" s="278">
        <f>G29/100</f>
        <v>7.0000000000000007E-2</v>
      </c>
      <c r="G29" s="82">
        <v>7</v>
      </c>
      <c r="H29" s="67" t="s">
        <v>249</v>
      </c>
      <c r="I29" s="4"/>
      <c r="J29" s="2"/>
      <c r="K29" s="336" t="str">
        <f>IF(H29=0,"st",H29)</f>
        <v>a</v>
      </c>
    </row>
    <row r="30" spans="2:209" s="21" customFormat="1" ht="15" x14ac:dyDescent="0.25">
      <c r="B30" s="62" t="s">
        <v>248</v>
      </c>
      <c r="C30" s="63"/>
      <c r="D30" s="64">
        <v>25000</v>
      </c>
      <c r="E30" s="65">
        <v>10</v>
      </c>
      <c r="F30" s="278">
        <f>G30/100</f>
        <v>0.06</v>
      </c>
      <c r="G30" s="82">
        <v>6</v>
      </c>
      <c r="H30" s="67" t="s">
        <v>252</v>
      </c>
      <c r="I30" s="4"/>
      <c r="J30" s="2"/>
      <c r="K30" s="336" t="str">
        <f>IF(H30=0,"st",H30)</f>
        <v>st</v>
      </c>
    </row>
    <row r="31" spans="2:209" s="21" customFormat="1" ht="15" x14ac:dyDescent="0.25">
      <c r="B31" s="62" t="s">
        <v>262</v>
      </c>
      <c r="C31" s="63"/>
      <c r="D31" s="64">
        <v>5000</v>
      </c>
      <c r="E31" s="65">
        <v>10</v>
      </c>
      <c r="F31" s="278">
        <f>G31/100</f>
        <v>0.1</v>
      </c>
      <c r="G31" s="66">
        <v>10</v>
      </c>
      <c r="H31" s="67" t="s">
        <v>249</v>
      </c>
      <c r="I31" s="4"/>
      <c r="J31" s="2"/>
      <c r="K31" s="336" t="str">
        <f>IF(H31=0,"st",H31)</f>
        <v>a</v>
      </c>
    </row>
    <row r="32" spans="2:209" s="21" customFormat="1" ht="15" x14ac:dyDescent="0.25">
      <c r="B32" s="62" t="s">
        <v>263</v>
      </c>
      <c r="C32" s="63"/>
      <c r="D32" s="64">
        <v>1500</v>
      </c>
      <c r="E32" s="65">
        <v>5</v>
      </c>
      <c r="F32" s="278">
        <f>G32/100</f>
        <v>0.12</v>
      </c>
      <c r="G32" s="66">
        <v>12</v>
      </c>
      <c r="H32" s="67" t="s">
        <v>249</v>
      </c>
      <c r="I32" s="4"/>
      <c r="J32" s="2"/>
      <c r="K32" s="336" t="str">
        <f>IF(H32=0,"st",H32)</f>
        <v>a</v>
      </c>
    </row>
    <row r="33" spans="2:210" s="21" customFormat="1" ht="15" x14ac:dyDescent="0.25">
      <c r="B33" s="12" t="s">
        <v>28</v>
      </c>
      <c r="C33" s="11"/>
      <c r="D33" s="14">
        <f>SUM(D29:D32)</f>
        <v>71500</v>
      </c>
      <c r="E33" s="11"/>
      <c r="F33" s="26"/>
      <c r="G33" s="11"/>
      <c r="H33" s="11"/>
      <c r="I33" s="4"/>
      <c r="J33" s="2"/>
      <c r="K33" s="2"/>
    </row>
    <row r="34" spans="2:210" s="21" customFormat="1" ht="15" x14ac:dyDescent="0.25">
      <c r="B34" s="94" t="s">
        <v>29</v>
      </c>
      <c r="C34" s="94"/>
      <c r="D34" s="95">
        <f>D25-D33</f>
        <v>-20356</v>
      </c>
      <c r="E34" s="94"/>
      <c r="F34" s="96"/>
      <c r="G34" s="97"/>
      <c r="H34" s="94"/>
      <c r="I34" s="4"/>
      <c r="J34" s="2"/>
      <c r="K34" s="2"/>
    </row>
    <row r="35" spans="2:210" s="21" customFormat="1" ht="15.75" x14ac:dyDescent="0.25">
      <c r="B35" s="23"/>
      <c r="C35" s="23"/>
      <c r="D35" s="23"/>
      <c r="E35" s="2"/>
      <c r="F35" s="24"/>
      <c r="G35" s="2"/>
      <c r="H35" s="2"/>
      <c r="I35" s="2"/>
      <c r="J35" s="2"/>
      <c r="K35" s="2"/>
    </row>
    <row r="36" spans="2:210" s="21" customFormat="1" ht="24.95" customHeight="1" x14ac:dyDescent="0.2">
      <c r="B36" s="408" t="s">
        <v>269</v>
      </c>
      <c r="C36" s="408"/>
      <c r="D36" s="408"/>
      <c r="E36" s="408"/>
      <c r="F36" s="408"/>
      <c r="G36" s="408"/>
      <c r="H36" s="408"/>
      <c r="I36" s="408"/>
      <c r="J36" s="339" t="s">
        <v>30</v>
      </c>
      <c r="K36" s="2"/>
      <c r="L36" s="40"/>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31"/>
      <c r="GM36" s="31"/>
      <c r="GN36" s="31"/>
      <c r="GO36" s="31"/>
      <c r="GP36" s="31"/>
      <c r="GQ36" s="31"/>
      <c r="GR36" s="31"/>
      <c r="GS36" s="31"/>
      <c r="GT36" s="31"/>
      <c r="GU36" s="31"/>
      <c r="GV36" s="31"/>
      <c r="GW36" s="31"/>
      <c r="GX36" s="31"/>
      <c r="GY36" s="31"/>
      <c r="GZ36" s="31"/>
      <c r="HA36" s="31"/>
      <c r="HB36" s="31"/>
    </row>
    <row r="37" spans="2:210" s="21" customFormat="1" ht="6.95" customHeight="1" x14ac:dyDescent="0.2">
      <c r="B37" s="2"/>
      <c r="C37" s="2"/>
      <c r="D37" s="2"/>
      <c r="E37" s="24"/>
      <c r="F37" s="2"/>
      <c r="G37" s="2"/>
      <c r="H37" s="2"/>
      <c r="I37" s="2"/>
      <c r="J37" s="2"/>
      <c r="K37" s="24"/>
    </row>
    <row r="38" spans="2:210" s="21" customFormat="1" ht="6.95" customHeight="1" x14ac:dyDescent="0.25">
      <c r="B38" s="5"/>
      <c r="C38" s="4"/>
      <c r="D38" s="4"/>
      <c r="E38" s="4"/>
      <c r="F38" s="4"/>
      <c r="G38" s="4"/>
      <c r="H38" s="4"/>
      <c r="I38" s="4"/>
      <c r="J38" s="2"/>
      <c r="K38" s="2"/>
    </row>
    <row r="39" spans="2:210" s="21" customFormat="1" ht="15" x14ac:dyDescent="0.25">
      <c r="B39" s="84" t="s">
        <v>256</v>
      </c>
      <c r="C39" s="84"/>
      <c r="D39" s="345">
        <v>400</v>
      </c>
      <c r="E39" s="41"/>
      <c r="F39" s="2"/>
      <c r="G39" s="6"/>
      <c r="H39" s="2"/>
      <c r="I39" s="4"/>
      <c r="J39" s="2"/>
      <c r="K39" s="2"/>
    </row>
    <row r="40" spans="2:210" s="21" customFormat="1" ht="15" x14ac:dyDescent="0.25">
      <c r="B40" s="84" t="s">
        <v>257</v>
      </c>
      <c r="C40" s="84"/>
      <c r="D40" s="346">
        <v>200</v>
      </c>
      <c r="E40" s="41"/>
      <c r="F40" s="2"/>
      <c r="G40" s="2"/>
      <c r="H40" s="2"/>
      <c r="I40" s="4"/>
      <c r="J40" s="2"/>
      <c r="K40" s="24"/>
    </row>
    <row r="41" spans="2:210" s="21" customFormat="1" ht="15" x14ac:dyDescent="0.25">
      <c r="B41" s="90" t="s">
        <v>255</v>
      </c>
      <c r="C41" s="84"/>
      <c r="D41" s="346"/>
      <c r="E41" s="41"/>
      <c r="F41" s="2"/>
      <c r="G41" s="2"/>
      <c r="H41" s="2"/>
      <c r="I41" s="4"/>
      <c r="J41" s="2"/>
      <c r="K41" s="24"/>
    </row>
    <row r="42" spans="2:210" s="21" customFormat="1" ht="15" x14ac:dyDescent="0.25">
      <c r="B42" s="84" t="s">
        <v>183</v>
      </c>
      <c r="C42" s="84"/>
      <c r="D42" s="346">
        <v>400</v>
      </c>
      <c r="E42" s="41"/>
      <c r="F42" s="2"/>
      <c r="G42" s="2"/>
      <c r="H42" s="6"/>
      <c r="I42" s="4"/>
      <c r="J42" s="2"/>
      <c r="K42" s="24"/>
    </row>
    <row r="43" spans="2:210" s="21" customFormat="1" ht="15" x14ac:dyDescent="0.25">
      <c r="B43" s="391" t="s">
        <v>277</v>
      </c>
      <c r="C43" s="406" t="s">
        <v>278</v>
      </c>
      <c r="D43" s="407"/>
      <c r="E43" s="77"/>
      <c r="F43" s="2"/>
      <c r="G43" s="2"/>
      <c r="H43" s="2"/>
      <c r="I43" s="4"/>
      <c r="J43" s="2"/>
      <c r="K43" s="24"/>
    </row>
    <row r="44" spans="2:210" s="21" customFormat="1" ht="15" x14ac:dyDescent="0.25">
      <c r="B44" s="84" t="s">
        <v>31</v>
      </c>
      <c r="C44" s="84"/>
      <c r="D44" s="346">
        <v>300</v>
      </c>
      <c r="E44" s="276">
        <f>IF(D42&gt;0,ROUND(D44*1000/D42,-2),0)</f>
        <v>800</v>
      </c>
      <c r="G44" s="275" t="s">
        <v>32</v>
      </c>
      <c r="J44" s="2"/>
      <c r="K44" s="24"/>
    </row>
    <row r="45" spans="2:210" s="21" customFormat="1" ht="15" x14ac:dyDescent="0.25">
      <c r="B45" s="84" t="s">
        <v>33</v>
      </c>
      <c r="C45" s="84"/>
      <c r="D45" s="345">
        <v>5</v>
      </c>
      <c r="E45" s="41"/>
      <c r="F45" s="2"/>
      <c r="G45" s="2"/>
      <c r="H45" s="2"/>
      <c r="I45" s="4"/>
      <c r="J45" s="2"/>
      <c r="K45" s="24"/>
    </row>
    <row r="46" spans="2:210" s="21" customFormat="1" ht="15" x14ac:dyDescent="0.25">
      <c r="B46" s="84" t="s">
        <v>34</v>
      </c>
      <c r="C46" s="84"/>
      <c r="D46" s="345"/>
      <c r="E46" s="41"/>
      <c r="F46" s="2"/>
      <c r="G46" s="2"/>
      <c r="H46" s="2"/>
      <c r="I46" s="4"/>
      <c r="J46" s="2"/>
      <c r="K46" s="2"/>
    </row>
    <row r="47" spans="2:210" s="21" customFormat="1" ht="15" x14ac:dyDescent="0.25">
      <c r="B47" s="84" t="s">
        <v>35</v>
      </c>
      <c r="C47" s="84"/>
      <c r="D47" s="345"/>
      <c r="E47" s="41"/>
      <c r="F47" s="2"/>
      <c r="G47" s="2"/>
      <c r="H47" s="2"/>
      <c r="I47" s="4"/>
      <c r="J47" s="2"/>
      <c r="K47" s="24"/>
    </row>
    <row r="48" spans="2:210" s="21" customFormat="1" ht="15" x14ac:dyDescent="0.25">
      <c r="B48" s="84" t="s">
        <v>36</v>
      </c>
      <c r="C48" s="84"/>
      <c r="D48" s="345"/>
      <c r="E48" s="41"/>
      <c r="F48" s="2"/>
      <c r="G48" s="2"/>
      <c r="H48" s="2"/>
      <c r="I48" s="4"/>
      <c r="J48" s="2"/>
      <c r="K48" s="24"/>
    </row>
    <row r="49" spans="2:11" s="21" customFormat="1" ht="15" x14ac:dyDescent="0.25">
      <c r="B49" s="84" t="s">
        <v>37</v>
      </c>
      <c r="C49" s="84"/>
      <c r="D49" s="345"/>
      <c r="E49" s="41"/>
      <c r="F49" s="2"/>
      <c r="G49" s="2"/>
      <c r="H49" s="2"/>
      <c r="I49" s="4"/>
      <c r="J49" s="2"/>
      <c r="K49" s="24"/>
    </row>
    <row r="50" spans="2:11" s="21" customFormat="1" ht="15" x14ac:dyDescent="0.25">
      <c r="B50" s="84" t="s">
        <v>38</v>
      </c>
      <c r="C50" s="84"/>
      <c r="D50" s="345"/>
      <c r="E50" s="41"/>
      <c r="F50" s="2"/>
      <c r="G50" s="2"/>
      <c r="H50" s="2"/>
      <c r="I50" s="4"/>
      <c r="J50" s="2"/>
      <c r="K50" s="24"/>
    </row>
    <row r="51" spans="2:11" s="21" customFormat="1" ht="15" x14ac:dyDescent="0.25">
      <c r="B51" s="84" t="s">
        <v>39</v>
      </c>
      <c r="C51" s="84"/>
      <c r="D51" s="345"/>
      <c r="E51" s="41"/>
      <c r="F51" s="2"/>
      <c r="G51" s="2"/>
      <c r="H51" s="2"/>
      <c r="I51" s="4"/>
      <c r="J51" s="2"/>
      <c r="K51" s="24"/>
    </row>
    <row r="52" spans="2:11" s="21" customFormat="1" ht="15" x14ac:dyDescent="0.25">
      <c r="B52" s="84" t="s">
        <v>40</v>
      </c>
      <c r="C52" s="84"/>
      <c r="D52" s="345"/>
      <c r="E52" s="41"/>
      <c r="F52" s="2"/>
      <c r="G52" s="2"/>
      <c r="H52" s="2"/>
      <c r="I52" s="4"/>
      <c r="J52" s="2"/>
      <c r="K52" s="24"/>
    </row>
    <row r="53" spans="2:11" s="21" customFormat="1" ht="15" x14ac:dyDescent="0.25">
      <c r="B53" s="84" t="s">
        <v>41</v>
      </c>
      <c r="C53" s="84"/>
      <c r="D53" s="345">
        <v>-1500</v>
      </c>
      <c r="E53" s="41"/>
      <c r="F53" s="2"/>
      <c r="G53" s="2"/>
      <c r="H53" s="2"/>
      <c r="I53" s="4"/>
      <c r="J53" s="2"/>
      <c r="K53" s="24"/>
    </row>
    <row r="54" spans="2:11" s="21" customFormat="1" ht="15" x14ac:dyDescent="0.25">
      <c r="B54" s="84" t="s">
        <v>279</v>
      </c>
      <c r="C54" s="84"/>
      <c r="D54" s="345"/>
      <c r="E54" s="41"/>
      <c r="F54" s="2"/>
      <c r="G54" s="2"/>
      <c r="H54" s="2"/>
      <c r="I54" s="4"/>
      <c r="J54" s="2"/>
      <c r="K54" s="2"/>
    </row>
    <row r="55" spans="2:11" s="21" customFormat="1" ht="15" x14ac:dyDescent="0.25">
      <c r="B55" s="84" t="s">
        <v>43</v>
      </c>
      <c r="C55" s="84"/>
      <c r="D55" s="345"/>
      <c r="E55" s="41"/>
      <c r="F55" s="2"/>
      <c r="G55" s="2"/>
      <c r="H55" s="2"/>
      <c r="I55" s="4"/>
      <c r="J55" s="2"/>
      <c r="K55" s="24"/>
    </row>
    <row r="56" spans="2:11" s="21" customFormat="1" ht="15" x14ac:dyDescent="0.25">
      <c r="B56" s="84" t="s">
        <v>44</v>
      </c>
      <c r="C56" s="84"/>
      <c r="D56" s="347">
        <v>-1000</v>
      </c>
      <c r="E56" s="277">
        <f>(D39*J88+D40/D133*J108+D42*J116)/-1000</f>
        <v>-1310</v>
      </c>
      <c r="F56" s="2"/>
      <c r="G56" s="2"/>
      <c r="H56" s="2"/>
      <c r="I56" s="4"/>
      <c r="J56" s="2"/>
      <c r="K56" s="24"/>
    </row>
    <row r="57" spans="2:11" s="21" customFormat="1" ht="15" x14ac:dyDescent="0.25">
      <c r="B57" s="84" t="s">
        <v>45</v>
      </c>
      <c r="C57" s="84"/>
      <c r="D57" s="345"/>
      <c r="E57" s="41"/>
      <c r="F57" s="2"/>
      <c r="G57" s="2"/>
      <c r="H57" s="2"/>
      <c r="I57" s="4"/>
      <c r="J57" s="2"/>
      <c r="K57" s="24"/>
    </row>
    <row r="58" spans="2:11" s="21" customFormat="1" ht="15" x14ac:dyDescent="0.25">
      <c r="B58" s="84" t="s">
        <v>46</v>
      </c>
      <c r="C58" s="84"/>
      <c r="D58" s="346">
        <v>-500</v>
      </c>
      <c r="E58" s="6" t="s">
        <v>47</v>
      </c>
      <c r="F58" s="2"/>
      <c r="H58" s="2"/>
      <c r="I58" s="4"/>
      <c r="J58" s="2"/>
      <c r="K58" s="2"/>
    </row>
    <row r="59" spans="2:11" s="21" customFormat="1" ht="15" x14ac:dyDescent="0.25">
      <c r="B59" s="84" t="s">
        <v>48</v>
      </c>
      <c r="C59" s="84"/>
      <c r="D59" s="346"/>
      <c r="E59" s="41"/>
      <c r="F59" s="2"/>
      <c r="G59" s="2"/>
      <c r="H59" s="2"/>
      <c r="I59" s="4"/>
      <c r="J59" s="2"/>
      <c r="K59" s="24"/>
    </row>
    <row r="60" spans="2:11" s="21" customFormat="1" ht="15" x14ac:dyDescent="0.25">
      <c r="B60" s="84"/>
      <c r="C60" s="84"/>
      <c r="D60" s="346"/>
      <c r="E60" s="41"/>
      <c r="F60" s="2"/>
      <c r="G60" s="2"/>
      <c r="H60" s="2"/>
      <c r="I60" s="4"/>
      <c r="J60" s="2"/>
      <c r="K60" s="24"/>
    </row>
    <row r="61" spans="2:11" s="21" customFormat="1" ht="15" x14ac:dyDescent="0.25">
      <c r="B61" s="84"/>
      <c r="C61" s="84"/>
      <c r="D61" s="346"/>
      <c r="E61" s="42"/>
      <c r="F61" s="4"/>
      <c r="G61" s="4"/>
      <c r="H61" s="4"/>
      <c r="I61" s="4"/>
      <c r="J61" s="2"/>
      <c r="K61" s="24"/>
    </row>
    <row r="62" spans="2:11" s="21" customFormat="1" x14ac:dyDescent="0.2">
      <c r="B62" s="2"/>
      <c r="C62" s="2"/>
      <c r="D62" s="2"/>
      <c r="E62" s="6"/>
      <c r="F62" s="2"/>
      <c r="G62" s="2"/>
      <c r="H62" s="2"/>
      <c r="I62" s="2"/>
      <c r="J62" s="2"/>
      <c r="K62" s="24"/>
    </row>
    <row r="63" spans="2:11" s="21" customFormat="1" ht="18.75" x14ac:dyDescent="0.3">
      <c r="B63" s="100" t="s">
        <v>49</v>
      </c>
      <c r="C63" s="4"/>
      <c r="D63" s="43" t="s">
        <v>13</v>
      </c>
      <c r="E63" s="45" t="s">
        <v>14</v>
      </c>
      <c r="F63" s="4"/>
      <c r="G63" s="44" t="s">
        <v>50</v>
      </c>
      <c r="H63" s="4"/>
      <c r="I63" s="4"/>
      <c r="J63" s="2"/>
      <c r="K63" s="24"/>
    </row>
    <row r="64" spans="2:11" s="21" customFormat="1" ht="15" x14ac:dyDescent="0.25">
      <c r="B64" s="84" t="s">
        <v>51</v>
      </c>
      <c r="C64" s="85">
        <f>IF(D64&gt;0,D64,G64)</f>
        <v>13500</v>
      </c>
      <c r="D64" s="64"/>
      <c r="E64" s="84"/>
      <c r="F64" s="84"/>
      <c r="G64" s="83">
        <f>D84</f>
        <v>13500</v>
      </c>
      <c r="H64" s="44" t="s">
        <v>52</v>
      </c>
      <c r="I64" s="4"/>
      <c r="J64" s="2"/>
      <c r="K64" s="24"/>
    </row>
    <row r="65" spans="2:11" s="21" customFormat="1" ht="15" x14ac:dyDescent="0.25">
      <c r="B65" s="84" t="s">
        <v>53</v>
      </c>
      <c r="C65" s="85">
        <f>IF(D65&gt;0,D65,G65)</f>
        <v>13500</v>
      </c>
      <c r="D65" s="64"/>
      <c r="E65" s="84"/>
      <c r="F65" s="84"/>
      <c r="G65" s="83">
        <f>D84</f>
        <v>13500</v>
      </c>
      <c r="H65" s="44" t="s">
        <v>54</v>
      </c>
      <c r="I65" s="4"/>
      <c r="J65" s="2"/>
      <c r="K65" s="2"/>
    </row>
    <row r="66" spans="2:11" s="21" customFormat="1" ht="25.5" customHeight="1" x14ac:dyDescent="0.25">
      <c r="B66" s="84"/>
      <c r="C66" s="410" t="s">
        <v>281</v>
      </c>
      <c r="D66" s="411"/>
      <c r="E66" s="84"/>
      <c r="F66" s="84"/>
      <c r="G66" s="84" t="s">
        <v>50</v>
      </c>
      <c r="H66" s="44"/>
      <c r="I66" s="4"/>
      <c r="J66" s="2"/>
      <c r="K66" s="2"/>
    </row>
    <row r="67" spans="2:11" s="21" customFormat="1" ht="15" x14ac:dyDescent="0.25">
      <c r="B67" s="84" t="s">
        <v>55</v>
      </c>
      <c r="C67" s="86">
        <f>IF(D67&gt;0,D67,E67)</f>
        <v>1E-4</v>
      </c>
      <c r="D67" s="87">
        <v>1E-4</v>
      </c>
      <c r="E67" s="86">
        <f>E$85</f>
        <v>30</v>
      </c>
      <c r="F67" s="84"/>
      <c r="G67" s="85">
        <f>C65*(100-C67)/100</f>
        <v>13499.986499999999</v>
      </c>
      <c r="H67" s="44" t="s">
        <v>56</v>
      </c>
      <c r="I67" s="4"/>
      <c r="J67" s="2"/>
      <c r="K67" s="2"/>
    </row>
    <row r="68" spans="2:11" s="21" customFormat="1" ht="15" x14ac:dyDescent="0.25">
      <c r="B68" s="84" t="s">
        <v>57</v>
      </c>
      <c r="C68" s="86">
        <f t="shared" ref="C68:C69" si="0">IF(D68&gt;0,D68,E68)</f>
        <v>30</v>
      </c>
      <c r="D68" s="87"/>
      <c r="E68" s="86">
        <f>E$85</f>
        <v>30</v>
      </c>
      <c r="F68" s="85"/>
      <c r="G68" s="85">
        <f>C65*(100-C68)/100</f>
        <v>9450</v>
      </c>
      <c r="H68" s="44" t="s">
        <v>58</v>
      </c>
      <c r="I68" s="4"/>
      <c r="J68" s="2"/>
      <c r="K68" s="2"/>
    </row>
    <row r="69" spans="2:11" s="21" customFormat="1" ht="15" x14ac:dyDescent="0.25">
      <c r="B69" s="84" t="s">
        <v>59</v>
      </c>
      <c r="C69" s="86">
        <f t="shared" si="0"/>
        <v>15</v>
      </c>
      <c r="D69" s="87"/>
      <c r="E69" s="86">
        <f>E86</f>
        <v>15</v>
      </c>
      <c r="F69" s="85"/>
      <c r="G69" s="85">
        <f>C65*(100-C69)/100</f>
        <v>11475</v>
      </c>
      <c r="H69" s="44" t="s">
        <v>60</v>
      </c>
      <c r="I69" s="4"/>
      <c r="J69" s="2"/>
      <c r="K69" s="2"/>
    </row>
    <row r="70" spans="2:11" s="21" customFormat="1" ht="15" x14ac:dyDescent="0.25">
      <c r="B70" s="84"/>
      <c r="C70" s="86"/>
      <c r="D70" s="88"/>
      <c r="E70" s="86"/>
      <c r="F70" s="84"/>
      <c r="G70" s="85"/>
      <c r="H70" s="44"/>
      <c r="I70" s="4"/>
      <c r="J70" s="2"/>
      <c r="K70" s="24"/>
    </row>
    <row r="71" spans="2:11" s="21" customFormat="1" ht="15" x14ac:dyDescent="0.25">
      <c r="B71" s="84" t="s">
        <v>61</v>
      </c>
      <c r="C71" s="85">
        <f>IF(D71&gt;0,D71,E71)</f>
        <v>2500</v>
      </c>
      <c r="D71" s="89"/>
      <c r="E71" s="83">
        <f>D103</f>
        <v>2500</v>
      </c>
      <c r="F71" s="84"/>
      <c r="G71" s="85">
        <f>C71*(100-E104)/100</f>
        <v>2250</v>
      </c>
      <c r="H71" s="44" t="s">
        <v>62</v>
      </c>
      <c r="I71" s="4"/>
      <c r="J71" s="2"/>
      <c r="K71" s="2"/>
    </row>
    <row r="72" spans="2:11" s="21" customFormat="1" ht="15" x14ac:dyDescent="0.25">
      <c r="B72" s="84"/>
      <c r="C72" s="85">
        <f t="shared" ref="C72:C78" si="1">IF(D72&gt;0,D72,E72)</f>
        <v>0</v>
      </c>
      <c r="D72" s="89"/>
      <c r="E72" s="83"/>
      <c r="F72" s="84"/>
      <c r="G72" s="84"/>
      <c r="H72" s="44"/>
      <c r="I72" s="4"/>
      <c r="J72" s="2"/>
      <c r="K72" s="24"/>
    </row>
    <row r="73" spans="2:11" s="21" customFormat="1" ht="15" x14ac:dyDescent="0.25">
      <c r="B73" s="84" t="s">
        <v>63</v>
      </c>
      <c r="C73" s="85">
        <f t="shared" si="1"/>
        <v>11300</v>
      </c>
      <c r="D73" s="89"/>
      <c r="E73" s="83">
        <f>D87</f>
        <v>11300</v>
      </c>
      <c r="F73" s="85"/>
      <c r="G73" s="84" t="s">
        <v>64</v>
      </c>
      <c r="H73" s="44"/>
      <c r="I73" s="4"/>
      <c r="J73" s="2"/>
      <c r="K73" s="24"/>
    </row>
    <row r="74" spans="2:11" s="21" customFormat="1" ht="15" x14ac:dyDescent="0.25">
      <c r="B74" s="84"/>
      <c r="C74" s="85">
        <f t="shared" si="1"/>
        <v>0</v>
      </c>
      <c r="D74" s="90"/>
      <c r="E74" s="84"/>
      <c r="F74" s="84"/>
      <c r="G74" s="84"/>
      <c r="H74" s="4"/>
      <c r="I74" s="4"/>
      <c r="J74" s="2"/>
      <c r="K74" s="24"/>
    </row>
    <row r="75" spans="2:11" s="21" customFormat="1" ht="15" x14ac:dyDescent="0.25">
      <c r="B75" s="84" t="s">
        <v>65</v>
      </c>
      <c r="C75" s="85">
        <f t="shared" si="1"/>
        <v>25</v>
      </c>
      <c r="D75" s="87"/>
      <c r="E75" s="86">
        <f>D125</f>
        <v>25</v>
      </c>
      <c r="F75" s="85"/>
      <c r="G75" s="86"/>
      <c r="H75" s="44"/>
      <c r="I75" s="4"/>
      <c r="J75" s="2"/>
      <c r="K75" s="24"/>
    </row>
    <row r="76" spans="2:11" s="21" customFormat="1" ht="15" x14ac:dyDescent="0.25">
      <c r="B76" s="84" t="s">
        <v>66</v>
      </c>
      <c r="C76" s="85">
        <f t="shared" si="1"/>
        <v>10</v>
      </c>
      <c r="D76" s="87"/>
      <c r="E76" s="86">
        <f>D126</f>
        <v>10</v>
      </c>
      <c r="F76" s="85"/>
      <c r="G76" s="86"/>
      <c r="H76" s="42"/>
      <c r="I76" s="4"/>
      <c r="J76" s="2"/>
      <c r="K76" s="24"/>
    </row>
    <row r="77" spans="2:11" s="21" customFormat="1" ht="15" x14ac:dyDescent="0.25">
      <c r="B77" s="68" t="s">
        <v>67</v>
      </c>
      <c r="C77" s="85">
        <f t="shared" si="1"/>
        <v>800</v>
      </c>
      <c r="D77" s="76"/>
      <c r="E77" s="93">
        <f>IF(D42&gt;0,ROUND(+D44*1000/D42,-2),0)</f>
        <v>800</v>
      </c>
      <c r="F77" s="84"/>
      <c r="G77" s="84" t="s">
        <v>68</v>
      </c>
      <c r="H77" s="44" t="s">
        <v>69</v>
      </c>
      <c r="I77" s="4"/>
      <c r="J77" s="2"/>
      <c r="K77" s="24"/>
    </row>
    <row r="78" spans="2:11" s="21" customFormat="1" ht="15" x14ac:dyDescent="0.25">
      <c r="B78" s="84" t="s">
        <v>70</v>
      </c>
      <c r="C78" s="85">
        <f t="shared" si="1"/>
        <v>-2841.125</v>
      </c>
      <c r="D78" s="64"/>
      <c r="E78" s="85">
        <f>D49-(Resultater!H20*D130)/1000</f>
        <v>-2841.125</v>
      </c>
      <c r="F78" s="84"/>
      <c r="G78" s="84" t="s">
        <v>71</v>
      </c>
      <c r="H78" s="4"/>
      <c r="I78" s="4"/>
      <c r="J78" s="2"/>
      <c r="K78" s="24"/>
    </row>
    <row r="79" spans="2:11" s="21" customFormat="1" ht="15" x14ac:dyDescent="0.25">
      <c r="B79" s="84" t="s">
        <v>72</v>
      </c>
      <c r="C79" s="85">
        <f>IF(D79="ja",D16,0)</f>
        <v>0</v>
      </c>
      <c r="D79" s="91" t="s">
        <v>73</v>
      </c>
      <c r="E79" s="92" t="s">
        <v>74</v>
      </c>
      <c r="F79" s="84">
        <f>IF(D79="nej",D16,0)</f>
        <v>125</v>
      </c>
      <c r="G79" s="84"/>
      <c r="H79" s="4"/>
      <c r="I79" s="4"/>
      <c r="J79" s="2"/>
      <c r="K79" s="24"/>
    </row>
    <row r="80" spans="2:11" s="21" customFormat="1" x14ac:dyDescent="0.2">
      <c r="B80" s="2"/>
      <c r="C80" s="2"/>
      <c r="D80" s="2"/>
      <c r="E80" s="6"/>
      <c r="F80" s="2"/>
      <c r="G80" s="2"/>
      <c r="H80" s="2"/>
      <c r="I80" s="2"/>
      <c r="J80" s="2"/>
      <c r="K80" s="24"/>
    </row>
    <row r="81" spans="2:210" s="21" customFormat="1" ht="39" x14ac:dyDescent="0.2">
      <c r="B81" s="408" t="s">
        <v>258</v>
      </c>
      <c r="C81" s="408"/>
      <c r="D81" s="408"/>
      <c r="E81" s="408"/>
      <c r="F81" s="408"/>
      <c r="G81" s="408"/>
      <c r="H81" s="408"/>
      <c r="I81" s="408"/>
      <c r="J81" s="341" t="s">
        <v>250</v>
      </c>
      <c r="K81" s="28"/>
      <c r="L81" s="40"/>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c r="EU81" s="31"/>
      <c r="EV81" s="31"/>
      <c r="EW81" s="31"/>
      <c r="EX81" s="31"/>
      <c r="EY81" s="31"/>
      <c r="EZ81" s="31"/>
      <c r="FA81" s="31"/>
      <c r="FB81" s="31"/>
      <c r="FC81" s="31"/>
      <c r="FD81" s="31"/>
      <c r="FE81" s="31"/>
      <c r="FF81" s="31"/>
      <c r="FG81" s="31"/>
      <c r="FH81" s="31"/>
      <c r="FI81" s="31"/>
      <c r="FJ81" s="31"/>
      <c r="FK81" s="31"/>
      <c r="FL81" s="31"/>
      <c r="FM81" s="31"/>
      <c r="FN81" s="31"/>
      <c r="FO81" s="31"/>
      <c r="FP81" s="31"/>
      <c r="FQ81" s="31"/>
      <c r="FR81" s="31"/>
      <c r="FS81" s="31"/>
      <c r="FT81" s="31"/>
      <c r="FU81" s="31"/>
      <c r="FV81" s="31"/>
      <c r="FW81" s="31"/>
      <c r="FX81" s="31"/>
      <c r="FY81" s="31"/>
      <c r="FZ81" s="31"/>
      <c r="GA81" s="31"/>
      <c r="GB81" s="31"/>
      <c r="GC81" s="31"/>
      <c r="GD81" s="31"/>
      <c r="GE81" s="31"/>
      <c r="GF81" s="31"/>
      <c r="GG81" s="31"/>
      <c r="GH81" s="31"/>
      <c r="GI81" s="31"/>
      <c r="GJ81" s="31"/>
      <c r="GK81" s="31"/>
      <c r="GL81" s="31"/>
      <c r="GM81" s="31"/>
      <c r="GN81" s="31"/>
      <c r="GO81" s="31"/>
      <c r="GP81" s="31"/>
      <c r="GQ81" s="31"/>
      <c r="GR81" s="31"/>
      <c r="GS81" s="31"/>
      <c r="GT81" s="31"/>
      <c r="GU81" s="31"/>
      <c r="GV81" s="31"/>
      <c r="GW81" s="31"/>
      <c r="GX81" s="31"/>
      <c r="GY81" s="31"/>
      <c r="GZ81" s="31"/>
      <c r="HA81" s="31"/>
      <c r="HB81" s="31"/>
    </row>
    <row r="82" spans="2:210" s="21" customFormat="1" x14ac:dyDescent="0.2">
      <c r="B82" s="2"/>
      <c r="C82" s="2"/>
      <c r="D82" s="2"/>
      <c r="E82" s="24"/>
      <c r="F82" s="2"/>
      <c r="G82" s="2"/>
      <c r="H82" s="2"/>
      <c r="I82" s="2"/>
      <c r="J82" s="2"/>
      <c r="K82" s="24"/>
    </row>
    <row r="83" spans="2:210" s="21" customFormat="1" ht="18.75" x14ac:dyDescent="0.3">
      <c r="B83" s="100" t="s">
        <v>75</v>
      </c>
      <c r="C83" s="4"/>
      <c r="D83" s="4"/>
      <c r="E83" s="4"/>
      <c r="F83" s="4"/>
      <c r="G83" s="100" t="s">
        <v>76</v>
      </c>
      <c r="H83" s="101"/>
      <c r="I83" s="101"/>
      <c r="J83" s="44" t="s">
        <v>77</v>
      </c>
      <c r="K83" s="25"/>
    </row>
    <row r="84" spans="2:210" s="21" customFormat="1" ht="15" x14ac:dyDescent="0.25">
      <c r="B84" s="4" t="s">
        <v>78</v>
      </c>
      <c r="C84" s="2"/>
      <c r="D84" s="46">
        <v>13500</v>
      </c>
      <c r="E84" s="24" t="s">
        <v>79</v>
      </c>
      <c r="F84" s="2"/>
      <c r="G84" s="2" t="s">
        <v>80</v>
      </c>
      <c r="H84" s="2"/>
      <c r="I84" s="2"/>
      <c r="J84" s="47">
        <v>28000</v>
      </c>
      <c r="K84" s="25"/>
    </row>
    <row r="85" spans="2:210" s="21" customFormat="1" ht="15" x14ac:dyDescent="0.25">
      <c r="B85" s="4" t="s">
        <v>81</v>
      </c>
      <c r="C85" s="2"/>
      <c r="D85" s="48">
        <f>D84*(100-E85)/100</f>
        <v>9450</v>
      </c>
      <c r="E85" s="46">
        <v>30</v>
      </c>
      <c r="F85" s="2"/>
      <c r="G85" s="2" t="s">
        <v>282</v>
      </c>
      <c r="H85" s="2"/>
      <c r="I85" s="2"/>
      <c r="J85" s="47">
        <v>10000</v>
      </c>
      <c r="K85" s="42"/>
    </row>
    <row r="86" spans="2:210" s="21" customFormat="1" ht="15" x14ac:dyDescent="0.25">
      <c r="B86" s="4" t="s">
        <v>251</v>
      </c>
      <c r="C86" s="2"/>
      <c r="D86" s="48">
        <f>D84*(100-E86)/100</f>
        <v>11475</v>
      </c>
      <c r="E86" s="46">
        <v>15</v>
      </c>
      <c r="F86" s="2"/>
      <c r="G86" s="2" t="s">
        <v>82</v>
      </c>
      <c r="H86" s="2"/>
      <c r="I86" s="2"/>
      <c r="J86" s="47">
        <v>9000</v>
      </c>
      <c r="K86" s="42"/>
    </row>
    <row r="87" spans="2:210" s="21" customFormat="1" ht="15" x14ac:dyDescent="0.25">
      <c r="B87" s="4" t="s">
        <v>63</v>
      </c>
      <c r="C87" s="2"/>
      <c r="D87" s="46">
        <v>11300</v>
      </c>
      <c r="E87" s="24" t="s">
        <v>83</v>
      </c>
      <c r="F87" s="2"/>
      <c r="G87" s="2"/>
      <c r="H87" s="2"/>
      <c r="I87" s="49"/>
      <c r="J87" s="47"/>
      <c r="K87" s="25"/>
    </row>
    <row r="88" spans="2:210" s="21" customFormat="1" ht="15" x14ac:dyDescent="0.25">
      <c r="B88" s="4" t="s">
        <v>84</v>
      </c>
      <c r="C88" s="2"/>
      <c r="D88" s="46">
        <v>25</v>
      </c>
      <c r="E88" s="24" t="s">
        <v>85</v>
      </c>
      <c r="F88" s="2"/>
      <c r="G88" s="2" t="s">
        <v>86</v>
      </c>
      <c r="H88" s="2"/>
      <c r="I88" s="2"/>
      <c r="J88" s="50">
        <f>J84/D125+J85/D126</f>
        <v>2120</v>
      </c>
      <c r="K88" s="25"/>
    </row>
    <row r="89" spans="2:210" s="21" customFormat="1" x14ac:dyDescent="0.2">
      <c r="B89" s="4" t="s">
        <v>87</v>
      </c>
      <c r="C89" s="2"/>
      <c r="D89" s="45">
        <f>ROUND(D88*D130,-2)</f>
        <v>5300</v>
      </c>
      <c r="E89" s="24" t="s">
        <v>88</v>
      </c>
      <c r="F89" s="2"/>
      <c r="G89" s="2"/>
      <c r="H89" s="2"/>
      <c r="I89" s="2"/>
      <c r="J89" s="4"/>
      <c r="K89" s="4"/>
    </row>
    <row r="90" spans="2:210" s="21" customFormat="1" x14ac:dyDescent="0.2">
      <c r="B90" s="4" t="s">
        <v>89</v>
      </c>
      <c r="C90" s="2"/>
      <c r="D90" s="46">
        <v>800</v>
      </c>
      <c r="E90" s="24" t="s">
        <v>88</v>
      </c>
      <c r="F90" s="2"/>
      <c r="G90" s="4"/>
      <c r="H90" s="43"/>
      <c r="I90" s="4"/>
      <c r="J90" s="4"/>
      <c r="K90" s="4"/>
    </row>
    <row r="91" spans="2:210" s="21" customFormat="1" x14ac:dyDescent="0.2">
      <c r="B91" s="4" t="s">
        <v>90</v>
      </c>
      <c r="C91" s="2"/>
      <c r="D91" s="46">
        <v>1500</v>
      </c>
      <c r="E91" s="24" t="s">
        <v>88</v>
      </c>
      <c r="F91" s="2"/>
      <c r="G91" s="4"/>
      <c r="H91" s="4"/>
      <c r="I91" s="4"/>
      <c r="J91" s="4"/>
      <c r="K91" s="4"/>
    </row>
    <row r="92" spans="2:210" s="21" customFormat="1" x14ac:dyDescent="0.2">
      <c r="B92" s="4" t="s">
        <v>91</v>
      </c>
      <c r="C92" s="4"/>
      <c r="D92" s="46">
        <v>350</v>
      </c>
      <c r="E92" s="25" t="s">
        <v>88</v>
      </c>
      <c r="F92" s="4"/>
      <c r="G92" s="4"/>
      <c r="H92" s="4"/>
      <c r="I92" s="4"/>
      <c r="J92" s="4"/>
      <c r="K92" s="4"/>
    </row>
    <row r="93" spans="2:210" s="21" customFormat="1" x14ac:dyDescent="0.2">
      <c r="B93" s="2"/>
      <c r="C93" s="2"/>
      <c r="D93" s="2"/>
      <c r="E93" s="24"/>
      <c r="F93" s="2"/>
      <c r="G93" s="2"/>
      <c r="H93" s="2"/>
      <c r="I93" s="2"/>
      <c r="J93" s="2"/>
      <c r="K93" s="24"/>
    </row>
    <row r="94" spans="2:210" s="21" customFormat="1" hidden="1" x14ac:dyDescent="0.2">
      <c r="B94" s="2"/>
      <c r="C94" s="2"/>
      <c r="D94" s="2"/>
      <c r="E94" s="24"/>
      <c r="F94" s="2"/>
      <c r="G94" s="2"/>
      <c r="H94" s="2"/>
      <c r="I94" s="2"/>
      <c r="J94" s="2"/>
      <c r="K94" s="24"/>
    </row>
    <row r="95" spans="2:210" s="21" customFormat="1" hidden="1" x14ac:dyDescent="0.2">
      <c r="B95" s="2"/>
      <c r="C95" s="2"/>
      <c r="D95" s="2"/>
      <c r="E95" s="24"/>
      <c r="F95" s="2"/>
      <c r="G95" s="2"/>
      <c r="H95" s="2"/>
      <c r="I95" s="2"/>
      <c r="J95" s="2"/>
      <c r="K95" s="24"/>
    </row>
    <row r="96" spans="2:210" s="21" customFormat="1" hidden="1" x14ac:dyDescent="0.2">
      <c r="B96" s="2"/>
      <c r="C96" s="2"/>
      <c r="D96" s="2"/>
      <c r="E96" s="24"/>
      <c r="F96" s="2"/>
      <c r="G96" s="2"/>
      <c r="H96" s="2"/>
      <c r="I96" s="2"/>
      <c r="J96" s="2"/>
      <c r="K96" s="24"/>
    </row>
    <row r="97" spans="2:11" s="21" customFormat="1" hidden="1" x14ac:dyDescent="0.2">
      <c r="B97" s="2"/>
      <c r="C97" s="2"/>
      <c r="D97" s="2"/>
      <c r="E97" s="24"/>
      <c r="F97" s="2"/>
      <c r="G97" s="2"/>
      <c r="H97" s="2"/>
      <c r="I97" s="2"/>
      <c r="J97" s="2"/>
      <c r="K97" s="24"/>
    </row>
    <row r="98" spans="2:11" s="21" customFormat="1" hidden="1" x14ac:dyDescent="0.2">
      <c r="B98" s="2"/>
      <c r="C98" s="2"/>
      <c r="D98" s="2"/>
      <c r="E98" s="24"/>
      <c r="F98" s="2"/>
      <c r="G98" s="2"/>
      <c r="H98" s="2"/>
      <c r="I98" s="2"/>
      <c r="J98" s="2"/>
      <c r="K98" s="24"/>
    </row>
    <row r="99" spans="2:11" s="21" customFormat="1" hidden="1" x14ac:dyDescent="0.2">
      <c r="B99" s="2"/>
      <c r="C99" s="2"/>
      <c r="D99" s="2"/>
      <c r="E99" s="24"/>
      <c r="F99" s="2"/>
      <c r="G99" s="2"/>
      <c r="H99" s="2"/>
      <c r="I99" s="2"/>
      <c r="J99" s="2"/>
      <c r="K99" s="24"/>
    </row>
    <row r="100" spans="2:11" s="21" customFormat="1" hidden="1" x14ac:dyDescent="0.2">
      <c r="B100" s="2"/>
      <c r="C100" s="2"/>
      <c r="D100" s="2"/>
      <c r="E100" s="24"/>
      <c r="F100" s="2"/>
      <c r="G100" s="2"/>
      <c r="H100" s="2"/>
      <c r="I100" s="2"/>
      <c r="J100" s="2"/>
      <c r="K100" s="24"/>
    </row>
    <row r="101" spans="2:11" s="21" customFormat="1" hidden="1" x14ac:dyDescent="0.2">
      <c r="B101" s="2"/>
      <c r="C101" s="2"/>
      <c r="D101" s="2"/>
      <c r="E101" s="24"/>
      <c r="F101" s="2"/>
      <c r="G101" s="2"/>
      <c r="H101" s="2"/>
      <c r="I101" s="2"/>
      <c r="J101" s="2"/>
      <c r="K101" s="24"/>
    </row>
    <row r="102" spans="2:11" s="21" customFormat="1" ht="18.75" x14ac:dyDescent="0.3">
      <c r="B102" s="100" t="s">
        <v>92</v>
      </c>
      <c r="C102" s="4"/>
      <c r="D102" s="4"/>
      <c r="E102" s="25"/>
      <c r="F102" s="4"/>
      <c r="G102" s="100" t="s">
        <v>93</v>
      </c>
      <c r="H102" s="101"/>
      <c r="I102" s="101"/>
      <c r="J102" s="44" t="s">
        <v>94</v>
      </c>
      <c r="K102" s="25"/>
    </row>
    <row r="103" spans="2:11" s="21" customFormat="1" ht="15" x14ac:dyDescent="0.25">
      <c r="B103" s="4" t="s">
        <v>95</v>
      </c>
      <c r="C103" s="2"/>
      <c r="D103" s="46">
        <v>2500</v>
      </c>
      <c r="E103" s="24" t="s">
        <v>79</v>
      </c>
      <c r="F103" s="2"/>
      <c r="G103" s="2" t="s">
        <v>96</v>
      </c>
      <c r="H103" s="2"/>
      <c r="I103" s="2"/>
      <c r="J103" s="47">
        <v>15000</v>
      </c>
      <c r="K103" s="25"/>
    </row>
    <row r="104" spans="2:11" s="21" customFormat="1" ht="15" x14ac:dyDescent="0.25">
      <c r="B104" s="4" t="s">
        <v>97</v>
      </c>
      <c r="C104" s="2"/>
      <c r="D104" s="45">
        <f>ROUND(D103*(100-E104)/100,-1)</f>
        <v>2250</v>
      </c>
      <c r="E104" s="46">
        <v>10</v>
      </c>
      <c r="F104" s="2"/>
      <c r="G104" s="2" t="s">
        <v>98</v>
      </c>
      <c r="H104" s="2"/>
      <c r="I104" s="2"/>
      <c r="J104" s="47">
        <v>3500</v>
      </c>
      <c r="K104" s="42"/>
    </row>
    <row r="105" spans="2:11" s="21" customFormat="1" ht="15" x14ac:dyDescent="0.25">
      <c r="B105" s="4" t="s">
        <v>99</v>
      </c>
      <c r="C105" s="2"/>
      <c r="D105" s="46">
        <v>7</v>
      </c>
      <c r="E105" s="25" t="s">
        <v>85</v>
      </c>
      <c r="F105" s="2"/>
      <c r="G105" s="2" t="s">
        <v>100</v>
      </c>
      <c r="H105" s="2"/>
      <c r="I105" s="2"/>
      <c r="J105" s="47">
        <v>2000</v>
      </c>
      <c r="K105" s="42"/>
    </row>
    <row r="106" spans="2:11" s="21" customFormat="1" ht="15" x14ac:dyDescent="0.25">
      <c r="B106" s="4" t="s">
        <v>101</v>
      </c>
      <c r="C106" s="2"/>
      <c r="D106" s="45">
        <f>D105*D130</f>
        <v>1470</v>
      </c>
      <c r="E106" s="24" t="s">
        <v>88</v>
      </c>
      <c r="F106" s="2"/>
      <c r="G106" s="2"/>
      <c r="H106" s="2"/>
      <c r="I106" s="2"/>
      <c r="J106" s="12"/>
      <c r="K106" s="42"/>
    </row>
    <row r="107" spans="2:11" s="21" customFormat="1" ht="15.75" x14ac:dyDescent="0.25">
      <c r="B107" s="4" t="s">
        <v>102</v>
      </c>
      <c r="C107" s="2"/>
      <c r="D107" s="46">
        <v>100</v>
      </c>
      <c r="E107" s="24" t="s">
        <v>88</v>
      </c>
      <c r="F107" s="2"/>
      <c r="G107" s="2" t="s">
        <v>103</v>
      </c>
      <c r="H107" s="2"/>
      <c r="I107" s="51"/>
      <c r="J107" s="52" t="s">
        <v>103</v>
      </c>
      <c r="K107" s="25"/>
    </row>
    <row r="108" spans="2:11" s="21" customFormat="1" ht="15.75" x14ac:dyDescent="0.25">
      <c r="B108" s="4" t="s">
        <v>104</v>
      </c>
      <c r="C108" s="2"/>
      <c r="D108" s="46">
        <v>140</v>
      </c>
      <c r="E108" s="24" t="s">
        <v>88</v>
      </c>
      <c r="F108" s="2"/>
      <c r="G108" s="2" t="s">
        <v>86</v>
      </c>
      <c r="H108" s="2"/>
      <c r="I108" s="51">
        <f>J108/D133</f>
        <v>950</v>
      </c>
      <c r="J108" s="53">
        <f>J103/D125+J104/D126</f>
        <v>950</v>
      </c>
      <c r="K108" s="4"/>
    </row>
    <row r="109" spans="2:11" s="21" customFormat="1" x14ac:dyDescent="0.2">
      <c r="B109" s="4" t="s">
        <v>105</v>
      </c>
      <c r="C109" s="4"/>
      <c r="D109" s="54">
        <v>30</v>
      </c>
      <c r="E109" s="25" t="s">
        <v>88</v>
      </c>
      <c r="F109" s="4"/>
      <c r="G109" s="4"/>
      <c r="H109" s="4"/>
      <c r="I109" s="4"/>
      <c r="J109" s="4"/>
      <c r="K109" s="4"/>
    </row>
    <row r="110" spans="2:11" s="21" customFormat="1" x14ac:dyDescent="0.2">
      <c r="B110" s="2"/>
      <c r="C110" s="2"/>
      <c r="D110" s="2"/>
      <c r="E110" s="24"/>
      <c r="F110" s="2"/>
      <c r="G110" s="2"/>
      <c r="H110" s="2"/>
      <c r="I110" s="2"/>
      <c r="J110" s="2"/>
      <c r="K110" s="2"/>
    </row>
    <row r="111" spans="2:11" s="21" customFormat="1" ht="18.75" x14ac:dyDescent="0.3">
      <c r="B111" s="100" t="s">
        <v>106</v>
      </c>
      <c r="C111" s="4"/>
      <c r="D111" s="4"/>
      <c r="E111" s="4"/>
      <c r="F111" s="25"/>
      <c r="G111" s="100" t="s">
        <v>107</v>
      </c>
      <c r="H111" s="101"/>
      <c r="I111" s="101"/>
      <c r="J111" s="4"/>
      <c r="K111" s="25"/>
    </row>
    <row r="112" spans="2:11" s="21" customFormat="1" x14ac:dyDescent="0.2">
      <c r="B112" s="4"/>
      <c r="C112" s="2"/>
      <c r="D112" s="2"/>
      <c r="E112" s="2"/>
      <c r="F112" s="2"/>
      <c r="G112" s="2"/>
      <c r="H112" s="2"/>
      <c r="I112" s="2" t="s">
        <v>108</v>
      </c>
      <c r="J112" s="6" t="s">
        <v>68</v>
      </c>
      <c r="K112" s="25"/>
    </row>
    <row r="113" spans="2:210" s="21" customFormat="1" ht="15" x14ac:dyDescent="0.25">
      <c r="B113" s="4" t="s">
        <v>109</v>
      </c>
      <c r="C113" s="2"/>
      <c r="D113" s="46">
        <v>800</v>
      </c>
      <c r="E113" s="24" t="s">
        <v>110</v>
      </c>
      <c r="F113" s="2"/>
      <c r="G113" s="2" t="s">
        <v>111</v>
      </c>
      <c r="H113" s="2"/>
      <c r="I113" s="46">
        <v>40</v>
      </c>
      <c r="J113" s="47">
        <v>3000</v>
      </c>
      <c r="K113" s="25"/>
    </row>
    <row r="114" spans="2:210" s="21" customFormat="1" ht="15" x14ac:dyDescent="0.25">
      <c r="B114" s="4" t="s">
        <v>112</v>
      </c>
      <c r="C114" s="2"/>
      <c r="D114" s="46">
        <v>8</v>
      </c>
      <c r="E114" s="24" t="s">
        <v>113</v>
      </c>
      <c r="F114" s="2"/>
      <c r="G114" s="2" t="s">
        <v>114</v>
      </c>
      <c r="H114" s="2"/>
      <c r="I114" s="46">
        <v>15</v>
      </c>
      <c r="J114" s="47">
        <v>6000</v>
      </c>
      <c r="K114" s="25"/>
    </row>
    <row r="115" spans="2:210" s="21" customFormat="1" ht="15" x14ac:dyDescent="0.25">
      <c r="B115" s="4" t="s">
        <v>115</v>
      </c>
      <c r="C115" s="2"/>
      <c r="D115" s="45">
        <f>D114*D130</f>
        <v>1680</v>
      </c>
      <c r="E115" s="24" t="s">
        <v>110</v>
      </c>
      <c r="F115" s="2"/>
      <c r="G115" s="2" t="s">
        <v>116</v>
      </c>
      <c r="H115" s="2"/>
      <c r="I115" s="46">
        <v>15</v>
      </c>
      <c r="J115" s="47">
        <v>3000</v>
      </c>
      <c r="K115" s="25"/>
    </row>
    <row r="116" spans="2:210" s="21" customFormat="1" ht="15" x14ac:dyDescent="0.25">
      <c r="B116" s="4" t="s">
        <v>117</v>
      </c>
      <c r="C116" s="2"/>
      <c r="D116" s="46">
        <v>400</v>
      </c>
      <c r="E116" s="24" t="s">
        <v>110</v>
      </c>
      <c r="F116" s="2"/>
      <c r="G116" s="2" t="s">
        <v>118</v>
      </c>
      <c r="H116" s="2"/>
      <c r="I116" s="2"/>
      <c r="J116" s="27">
        <f>ROUND(+J113/I113+J114/I114+J115/I115,-1)</f>
        <v>680</v>
      </c>
      <c r="K116" s="25"/>
    </row>
    <row r="117" spans="2:210" s="21" customFormat="1" ht="15" x14ac:dyDescent="0.25">
      <c r="B117" s="4" t="s">
        <v>36</v>
      </c>
      <c r="C117" s="2"/>
      <c r="D117" s="46">
        <v>700</v>
      </c>
      <c r="E117" s="24" t="s">
        <v>110</v>
      </c>
      <c r="F117" s="2"/>
      <c r="G117" s="2" t="s">
        <v>119</v>
      </c>
      <c r="H117" s="2"/>
      <c r="I117" s="2"/>
      <c r="J117" s="55">
        <v>125000</v>
      </c>
      <c r="K117" s="25"/>
    </row>
    <row r="118" spans="2:210" s="21" customFormat="1" x14ac:dyDescent="0.2">
      <c r="B118" s="4" t="s">
        <v>120</v>
      </c>
      <c r="C118" s="4"/>
      <c r="D118" s="46">
        <v>300</v>
      </c>
      <c r="E118" s="25" t="s">
        <v>110</v>
      </c>
      <c r="F118" s="4"/>
      <c r="G118" s="4" t="s">
        <v>121</v>
      </c>
      <c r="H118" s="4"/>
      <c r="I118" s="4"/>
      <c r="J118" s="46">
        <v>3500</v>
      </c>
      <c r="K118" s="25"/>
    </row>
    <row r="119" spans="2:210" s="21" customFormat="1" x14ac:dyDescent="0.2">
      <c r="B119" s="2"/>
      <c r="C119" s="2"/>
      <c r="D119" s="2"/>
      <c r="E119" s="24"/>
      <c r="F119" s="2"/>
      <c r="G119" s="2"/>
      <c r="H119" s="2"/>
      <c r="I119" s="2"/>
      <c r="J119" s="2"/>
      <c r="K119" s="24"/>
    </row>
    <row r="120" spans="2:210" s="21" customFormat="1" ht="39" x14ac:dyDescent="0.2">
      <c r="B120" s="408" t="s">
        <v>258</v>
      </c>
      <c r="C120" s="409"/>
      <c r="D120" s="409"/>
      <c r="E120" s="409"/>
      <c r="F120" s="409"/>
      <c r="G120" s="408"/>
      <c r="H120" s="408"/>
      <c r="I120" s="408"/>
      <c r="J120" s="339" t="s">
        <v>265</v>
      </c>
      <c r="K120" s="24"/>
      <c r="L120" s="56"/>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c r="BA120" s="57"/>
      <c r="BB120" s="57"/>
      <c r="BC120" s="57"/>
      <c r="BD120" s="57"/>
      <c r="BE120" s="57"/>
      <c r="BF120" s="57"/>
      <c r="BG120" s="57"/>
      <c r="BH120" s="57"/>
      <c r="BI120" s="57"/>
      <c r="BJ120" s="57"/>
      <c r="BK120" s="57"/>
      <c r="BL120" s="57"/>
      <c r="BM120" s="57"/>
      <c r="BN120" s="57"/>
      <c r="BO120" s="57"/>
      <c r="BP120" s="57"/>
      <c r="BQ120" s="57"/>
      <c r="BR120" s="57"/>
      <c r="BS120" s="57"/>
      <c r="BT120" s="57"/>
      <c r="BU120" s="57"/>
      <c r="BV120" s="57"/>
      <c r="BW120" s="57"/>
      <c r="BX120" s="57"/>
      <c r="BY120" s="57"/>
      <c r="BZ120" s="57"/>
      <c r="CA120" s="57"/>
      <c r="CB120" s="57"/>
      <c r="CC120" s="57"/>
      <c r="CD120" s="57"/>
      <c r="CE120" s="57"/>
      <c r="CF120" s="57"/>
      <c r="CG120" s="57"/>
      <c r="CH120" s="57"/>
      <c r="CI120" s="57"/>
      <c r="CJ120" s="57"/>
      <c r="CK120" s="57"/>
      <c r="CL120" s="57"/>
      <c r="CM120" s="57"/>
      <c r="CN120" s="57"/>
      <c r="CO120" s="57"/>
      <c r="CP120" s="57"/>
      <c r="CQ120" s="57"/>
      <c r="CR120" s="57"/>
      <c r="CS120" s="57"/>
      <c r="CT120" s="57"/>
      <c r="CU120" s="57"/>
      <c r="CV120" s="57"/>
      <c r="CW120" s="57"/>
      <c r="CX120" s="57"/>
      <c r="CY120" s="57"/>
      <c r="CZ120" s="57"/>
      <c r="DA120" s="57"/>
      <c r="DB120" s="57"/>
      <c r="DC120" s="57"/>
      <c r="DD120" s="57"/>
      <c r="DE120" s="57"/>
      <c r="DF120" s="57"/>
      <c r="DG120" s="57"/>
      <c r="DH120" s="57"/>
      <c r="DI120" s="57"/>
      <c r="DJ120" s="57"/>
      <c r="DK120" s="57"/>
      <c r="DL120" s="57"/>
      <c r="DM120" s="57"/>
      <c r="DN120" s="57"/>
      <c r="DO120" s="57"/>
      <c r="DP120" s="57"/>
      <c r="DQ120" s="57"/>
      <c r="DR120" s="57"/>
      <c r="DS120" s="57"/>
      <c r="DT120" s="57"/>
      <c r="DU120" s="57"/>
      <c r="DV120" s="57"/>
      <c r="DW120" s="57"/>
      <c r="DX120" s="57"/>
      <c r="DY120" s="57"/>
      <c r="DZ120" s="57"/>
      <c r="EA120" s="57"/>
      <c r="EB120" s="57"/>
      <c r="EC120" s="57"/>
      <c r="ED120" s="57"/>
      <c r="EE120" s="57"/>
      <c r="EF120" s="57"/>
      <c r="EG120" s="57"/>
      <c r="EH120" s="57"/>
      <c r="EI120" s="57"/>
      <c r="EJ120" s="57"/>
      <c r="EK120" s="57"/>
      <c r="EL120" s="57"/>
      <c r="EM120" s="57"/>
      <c r="EN120" s="57"/>
      <c r="EO120" s="57"/>
      <c r="EP120" s="57"/>
      <c r="EQ120" s="57"/>
      <c r="ER120" s="57"/>
      <c r="ES120" s="57"/>
      <c r="ET120" s="57"/>
      <c r="EU120" s="57"/>
      <c r="EV120" s="57"/>
      <c r="EW120" s="57"/>
      <c r="EX120" s="57"/>
      <c r="EY120" s="57"/>
      <c r="EZ120" s="57"/>
      <c r="FA120" s="57"/>
      <c r="FB120" s="57"/>
      <c r="FC120" s="57"/>
      <c r="FD120" s="57"/>
      <c r="FE120" s="57"/>
      <c r="FF120" s="57"/>
      <c r="FG120" s="57"/>
      <c r="FH120" s="57"/>
      <c r="FI120" s="57"/>
      <c r="FJ120" s="57"/>
      <c r="FK120" s="57"/>
      <c r="FL120" s="57"/>
      <c r="FM120" s="57"/>
      <c r="FN120" s="57"/>
      <c r="FO120" s="57"/>
      <c r="FP120" s="57"/>
      <c r="FQ120" s="57"/>
      <c r="FR120" s="57"/>
      <c r="FS120" s="57"/>
      <c r="FT120" s="57"/>
      <c r="FU120" s="57"/>
      <c r="FV120" s="57"/>
      <c r="FW120" s="57"/>
      <c r="FX120" s="57"/>
      <c r="FY120" s="57"/>
      <c r="FZ120" s="57"/>
      <c r="GA120" s="57"/>
      <c r="GB120" s="57"/>
      <c r="GC120" s="57"/>
      <c r="GD120" s="57"/>
      <c r="GE120" s="57"/>
      <c r="GF120" s="57"/>
      <c r="GG120" s="57"/>
      <c r="GH120" s="57"/>
      <c r="GI120" s="57"/>
      <c r="GJ120" s="57"/>
      <c r="GK120" s="57"/>
      <c r="GL120" s="57"/>
      <c r="GM120" s="57"/>
      <c r="GN120" s="57"/>
      <c r="GO120" s="57"/>
      <c r="GP120" s="57"/>
      <c r="GQ120" s="57"/>
      <c r="GR120" s="57"/>
      <c r="GS120" s="57"/>
      <c r="GT120" s="57"/>
      <c r="GU120" s="57"/>
      <c r="GV120" s="57"/>
      <c r="GW120" s="57"/>
      <c r="GX120" s="57"/>
      <c r="GY120" s="57"/>
      <c r="GZ120" s="57"/>
      <c r="HA120" s="57"/>
      <c r="HB120" s="57"/>
    </row>
    <row r="121" spans="2:210" s="21" customFormat="1" x14ac:dyDescent="0.2">
      <c r="B121" s="2"/>
      <c r="C121" s="2"/>
      <c r="D121" s="2"/>
      <c r="E121" s="24"/>
      <c r="F121" s="2"/>
      <c r="G121" s="2"/>
      <c r="H121" s="2"/>
      <c r="I121" s="2"/>
      <c r="J121" s="2"/>
      <c r="K121" s="24"/>
    </row>
    <row r="122" spans="2:210" s="21" customFormat="1" ht="18.75" x14ac:dyDescent="0.3">
      <c r="B122" s="100" t="s">
        <v>122</v>
      </c>
      <c r="C122" s="4"/>
      <c r="D122" s="4"/>
      <c r="E122" s="25"/>
      <c r="F122" s="4"/>
      <c r="G122" s="100" t="s">
        <v>122</v>
      </c>
      <c r="H122" s="101"/>
      <c r="I122" s="4"/>
      <c r="J122" s="4"/>
      <c r="K122" s="25"/>
    </row>
    <row r="123" spans="2:210" s="21" customFormat="1" x14ac:dyDescent="0.2">
      <c r="B123" s="4" t="s">
        <v>123</v>
      </c>
      <c r="C123" s="2"/>
      <c r="D123" s="54">
        <v>4</v>
      </c>
      <c r="E123" s="24" t="s">
        <v>79</v>
      </c>
      <c r="F123" s="2"/>
      <c r="G123" s="2"/>
      <c r="H123" s="2"/>
      <c r="I123" s="2"/>
      <c r="J123" s="348"/>
      <c r="K123" s="25"/>
    </row>
    <row r="124" spans="2:210" s="21" customFormat="1" x14ac:dyDescent="0.2">
      <c r="B124" s="4" t="s">
        <v>124</v>
      </c>
      <c r="C124" s="2"/>
      <c r="D124" s="54">
        <v>15</v>
      </c>
      <c r="E124" s="24" t="s">
        <v>79</v>
      </c>
      <c r="F124" s="2"/>
      <c r="G124" s="2" t="s">
        <v>125</v>
      </c>
      <c r="H124" s="2"/>
      <c r="I124" s="2"/>
      <c r="J124" s="349">
        <v>0.05</v>
      </c>
      <c r="K124" s="4"/>
    </row>
    <row r="125" spans="2:210" s="21" customFormat="1" x14ac:dyDescent="0.2">
      <c r="B125" s="4" t="s">
        <v>126</v>
      </c>
      <c r="C125" s="2"/>
      <c r="D125" s="54">
        <v>25</v>
      </c>
      <c r="E125" s="24" t="s">
        <v>127</v>
      </c>
      <c r="F125" s="2"/>
      <c r="G125" s="2" t="s">
        <v>128</v>
      </c>
      <c r="H125" s="2"/>
      <c r="I125" s="2"/>
      <c r="J125" s="349">
        <v>-0.04</v>
      </c>
      <c r="K125" s="4"/>
    </row>
    <row r="126" spans="2:210" s="21" customFormat="1" x14ac:dyDescent="0.2">
      <c r="B126" s="4" t="s">
        <v>129</v>
      </c>
      <c r="C126" s="2"/>
      <c r="D126" s="54">
        <v>10</v>
      </c>
      <c r="E126" s="24" t="s">
        <v>127</v>
      </c>
      <c r="F126" s="2"/>
      <c r="G126" s="2"/>
      <c r="H126" s="2"/>
      <c r="I126" s="2"/>
      <c r="J126" s="2"/>
      <c r="K126" s="25"/>
    </row>
    <row r="127" spans="2:210" s="21" customFormat="1" x14ac:dyDescent="0.2">
      <c r="B127" s="279"/>
      <c r="C127" s="2"/>
      <c r="D127" s="54"/>
      <c r="E127" s="24"/>
      <c r="F127" s="2"/>
      <c r="G127" s="2" t="s">
        <v>130</v>
      </c>
      <c r="H127" s="2"/>
      <c r="I127" s="2"/>
      <c r="J127" s="350">
        <v>0.05</v>
      </c>
      <c r="K127" s="25"/>
    </row>
    <row r="128" spans="2:210" s="21" customFormat="1" x14ac:dyDescent="0.2">
      <c r="B128" s="4" t="s">
        <v>131</v>
      </c>
      <c r="C128" s="2"/>
      <c r="D128" s="351">
        <v>4.0000000000000001E-3</v>
      </c>
      <c r="E128" s="24"/>
      <c r="F128" s="2"/>
      <c r="G128" s="2" t="s">
        <v>132</v>
      </c>
      <c r="H128" s="2"/>
      <c r="I128" s="2"/>
      <c r="J128" s="350">
        <v>0.15</v>
      </c>
      <c r="K128" s="25"/>
    </row>
    <row r="129" spans="2:12" s="21" customFormat="1" x14ac:dyDescent="0.2">
      <c r="B129" s="4" t="s">
        <v>133</v>
      </c>
      <c r="C129" s="2"/>
      <c r="D129" s="352">
        <v>0.04</v>
      </c>
      <c r="E129" s="2"/>
      <c r="F129" s="2"/>
      <c r="G129" s="2" t="s">
        <v>134</v>
      </c>
      <c r="H129" s="2"/>
      <c r="I129" s="2"/>
      <c r="J129" s="350">
        <v>0.2</v>
      </c>
      <c r="K129" s="25"/>
    </row>
    <row r="130" spans="2:12" s="21" customFormat="1" x14ac:dyDescent="0.2">
      <c r="B130" s="4" t="s">
        <v>135</v>
      </c>
      <c r="C130" s="2"/>
      <c r="D130" s="54">
        <v>210</v>
      </c>
      <c r="E130" s="24" t="s">
        <v>136</v>
      </c>
      <c r="F130" s="2"/>
      <c r="G130" s="2" t="s">
        <v>272</v>
      </c>
      <c r="H130" s="2"/>
      <c r="I130" s="2"/>
      <c r="J130" s="54">
        <v>5</v>
      </c>
      <c r="K130" s="25"/>
    </row>
    <row r="131" spans="2:12" s="21" customFormat="1" x14ac:dyDescent="0.2">
      <c r="B131" s="2"/>
      <c r="C131" s="2"/>
      <c r="D131" s="2"/>
      <c r="E131" s="2"/>
      <c r="F131" s="2"/>
      <c r="G131" s="2" t="s">
        <v>271</v>
      </c>
      <c r="H131" s="2"/>
      <c r="I131" s="2"/>
      <c r="J131" s="54">
        <v>10</v>
      </c>
      <c r="K131" s="25"/>
    </row>
    <row r="132" spans="2:12" s="21" customFormat="1" x14ac:dyDescent="0.2">
      <c r="B132" s="4"/>
      <c r="C132" s="4"/>
      <c r="D132" s="395"/>
      <c r="E132" s="25"/>
      <c r="F132" s="2"/>
      <c r="G132" s="2"/>
      <c r="H132" s="2"/>
      <c r="I132" s="2"/>
      <c r="J132" s="2"/>
      <c r="K132" s="25"/>
      <c r="L132" s="396"/>
    </row>
    <row r="133" spans="2:12" s="21" customFormat="1" x14ac:dyDescent="0.2">
      <c r="B133" s="4" t="s">
        <v>137</v>
      </c>
      <c r="C133" s="2"/>
      <c r="D133" s="353">
        <v>1</v>
      </c>
      <c r="E133" s="24" t="s">
        <v>7</v>
      </c>
      <c r="F133" s="2"/>
      <c r="G133" s="2" t="s">
        <v>273</v>
      </c>
      <c r="H133" s="2"/>
      <c r="I133" s="2"/>
      <c r="J133" s="354">
        <v>7</v>
      </c>
      <c r="K133" s="25"/>
      <c r="L133" s="194">
        <f>J133/100</f>
        <v>7.0000000000000007E-2</v>
      </c>
    </row>
    <row r="134" spans="2:12" s="21" customFormat="1" x14ac:dyDescent="0.2">
      <c r="B134" s="4" t="s">
        <v>139</v>
      </c>
      <c r="C134" s="2"/>
      <c r="D134" s="352">
        <v>0.03</v>
      </c>
      <c r="E134" s="24"/>
      <c r="F134" s="2"/>
      <c r="G134" s="2" t="s">
        <v>274</v>
      </c>
      <c r="H134" s="2"/>
      <c r="I134" s="2"/>
      <c r="J134" s="354">
        <v>5</v>
      </c>
      <c r="K134" s="25"/>
      <c r="L134" s="194">
        <f>J134/100</f>
        <v>0.05</v>
      </c>
    </row>
    <row r="135" spans="2:12" s="21" customFormat="1" x14ac:dyDescent="0.2">
      <c r="B135" s="4"/>
      <c r="C135" s="2"/>
      <c r="D135" s="2"/>
      <c r="E135" s="24"/>
      <c r="F135" s="2"/>
      <c r="G135" s="2" t="s">
        <v>275</v>
      </c>
      <c r="H135" s="2"/>
      <c r="I135" s="2"/>
      <c r="J135" s="354">
        <v>4</v>
      </c>
      <c r="K135" s="25"/>
      <c r="L135" s="194">
        <f>J135/100</f>
        <v>0.04</v>
      </c>
    </row>
    <row r="136" spans="2:12" s="21" customFormat="1" ht="15.75" x14ac:dyDescent="0.25">
      <c r="B136" s="4"/>
      <c r="C136" s="4"/>
      <c r="D136" s="337"/>
      <c r="E136" s="25"/>
      <c r="F136" s="4"/>
      <c r="G136" s="4"/>
      <c r="H136" s="4"/>
      <c r="I136" s="4"/>
      <c r="J136" s="27"/>
      <c r="K136" s="4"/>
      <c r="L136" s="58"/>
    </row>
    <row r="137" spans="2:12" s="21" customFormat="1" ht="15.75" x14ac:dyDescent="0.25">
      <c r="B137" s="4"/>
      <c r="C137" s="4"/>
      <c r="D137" s="338"/>
      <c r="E137" s="25"/>
      <c r="F137" s="4"/>
      <c r="G137" s="4"/>
      <c r="H137" s="4"/>
      <c r="I137" s="4"/>
      <c r="J137" s="17"/>
      <c r="K137" s="25"/>
      <c r="L137" s="59"/>
    </row>
    <row r="138" spans="2:12" s="21" customFormat="1" ht="15.75" x14ac:dyDescent="0.25">
      <c r="B138" s="4"/>
      <c r="C138" s="4"/>
      <c r="D138" s="338"/>
      <c r="E138" s="25"/>
      <c r="F138" s="4"/>
      <c r="G138" s="4"/>
      <c r="H138" s="4"/>
      <c r="I138" s="4"/>
      <c r="J138" s="17"/>
      <c r="K138" s="25"/>
      <c r="L138" s="59"/>
    </row>
    <row r="139" spans="2:12" s="21" customFormat="1" ht="15.75" x14ac:dyDescent="0.25">
      <c r="B139" s="4"/>
      <c r="C139" s="4"/>
      <c r="D139" s="338"/>
      <c r="E139" s="25"/>
      <c r="F139" s="4"/>
      <c r="G139" s="4"/>
      <c r="H139" s="4"/>
      <c r="I139" s="4"/>
      <c r="J139" s="17"/>
      <c r="K139" s="25"/>
      <c r="L139" s="59"/>
    </row>
    <row r="140" spans="2:12" s="21" customFormat="1" x14ac:dyDescent="0.2">
      <c r="B140" s="4"/>
      <c r="C140" s="4"/>
      <c r="D140" s="4"/>
      <c r="E140" s="4"/>
      <c r="F140" s="4"/>
      <c r="G140" s="4"/>
      <c r="H140" s="4"/>
      <c r="I140" s="4"/>
      <c r="J140" s="4"/>
      <c r="K140" s="25"/>
    </row>
    <row r="141" spans="2:12" s="21" customFormat="1" x14ac:dyDescent="0.2">
      <c r="B141" s="2"/>
      <c r="C141" s="2"/>
      <c r="D141" s="2"/>
      <c r="E141" s="24"/>
      <c r="F141" s="2"/>
      <c r="G141" s="2"/>
      <c r="H141" s="2"/>
      <c r="I141" s="2"/>
      <c r="J141" s="2"/>
      <c r="K141" s="24"/>
    </row>
    <row r="142" spans="2:12" x14ac:dyDescent="0.2">
      <c r="B142" s="60"/>
      <c r="C142" s="60"/>
      <c r="D142" s="60"/>
      <c r="E142" s="29"/>
      <c r="F142" s="60"/>
      <c r="G142" s="60"/>
      <c r="H142" s="60"/>
      <c r="I142" s="60"/>
      <c r="J142" s="60"/>
      <c r="K142" s="29"/>
    </row>
  </sheetData>
  <mergeCells count="10">
    <mergeCell ref="B4:I4"/>
    <mergeCell ref="C43:D43"/>
    <mergeCell ref="B81:I81"/>
    <mergeCell ref="B120:I120"/>
    <mergeCell ref="C66:D66"/>
    <mergeCell ref="D9:F9"/>
    <mergeCell ref="B12:I12"/>
    <mergeCell ref="B17:I17"/>
    <mergeCell ref="B27:H27"/>
    <mergeCell ref="B36:I36"/>
  </mergeCells>
  <phoneticPr fontId="1" type="noConversion"/>
  <printOptions headings="1" gridLines="1"/>
  <pageMargins left="0.74803149606299213" right="0.39370078740157483" top="0.47244094488188981" bottom="0.31496062992125984" header="0.51181102362204722" footer="0.51181102362204722"/>
  <pageSetup paperSize="9" scale="78" orientation="portrait" r:id="rId1"/>
  <headerFooter alignWithMargins="0"/>
  <rowBreaks count="3" manualBreakCount="3">
    <brk id="35" max="16383" man="1"/>
    <brk id="80" max="16383" man="1"/>
    <brk id="119"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4"/>
  <sheetViews>
    <sheetView showGridLines="0" showZeros="0" zoomScaleNormal="100" workbookViewId="0">
      <selection activeCell="B1" sqref="B1:J103"/>
    </sheetView>
  </sheetViews>
  <sheetFormatPr defaultColWidth="9.140625" defaultRowHeight="12.75" x14ac:dyDescent="0.2"/>
  <cols>
    <col min="1" max="1" width="5.42578125" style="58" customWidth="1"/>
    <col min="2" max="2" width="21.28515625" style="21" customWidth="1"/>
    <col min="3" max="3" width="7.5703125" style="21" customWidth="1"/>
    <col min="4" max="4" width="15.28515625" style="21" customWidth="1"/>
    <col min="5" max="5" width="2.7109375" style="21" customWidth="1"/>
    <col min="6" max="6" width="14.85546875" style="21" customWidth="1"/>
    <col min="7" max="7" width="1.5703125" style="21" customWidth="1"/>
    <col min="8" max="8" width="13" style="21" customWidth="1"/>
    <col min="9" max="9" width="4.140625" style="21" customWidth="1"/>
    <col min="10" max="10" width="17.5703125" style="21" customWidth="1"/>
    <col min="11" max="11" width="4.140625" style="21" customWidth="1"/>
    <col min="12" max="12" width="1.5703125" style="21" customWidth="1"/>
    <col min="13" max="16384" width="9.140625" style="21"/>
  </cols>
  <sheetData>
    <row r="1" spans="1:12" ht="24.95" customHeight="1" x14ac:dyDescent="0.35">
      <c r="A1" s="102"/>
      <c r="B1" s="416" t="s">
        <v>141</v>
      </c>
      <c r="C1" s="416"/>
      <c r="D1" s="416"/>
      <c r="E1" s="416"/>
      <c r="F1" s="416"/>
      <c r="G1" s="416"/>
      <c r="H1" s="416"/>
      <c r="I1" s="416"/>
      <c r="J1" s="392" t="s">
        <v>0</v>
      </c>
      <c r="K1" s="40"/>
      <c r="L1" s="31"/>
    </row>
    <row r="2" spans="1:12" ht="21" hidden="1" x14ac:dyDescent="0.2">
      <c r="A2" s="102"/>
      <c r="B2" s="103">
        <f>Indtast!D6</f>
        <v>0</v>
      </c>
      <c r="C2" s="103"/>
      <c r="D2" s="104"/>
      <c r="E2" s="39"/>
      <c r="F2" s="39"/>
      <c r="G2" s="39"/>
      <c r="H2" s="39"/>
      <c r="I2" s="39"/>
      <c r="J2" s="39"/>
      <c r="K2" s="39"/>
      <c r="L2" s="39"/>
    </row>
    <row r="3" spans="1:12" ht="21" hidden="1" x14ac:dyDescent="0.2">
      <c r="A3" s="102"/>
      <c r="B3" s="103">
        <f>Indtast!D7</f>
        <v>0</v>
      </c>
      <c r="C3" s="104"/>
      <c r="D3" s="105"/>
      <c r="E3" s="103"/>
      <c r="F3" s="103"/>
      <c r="G3" s="39"/>
      <c r="H3" s="39"/>
      <c r="I3" s="39"/>
      <c r="J3" s="39"/>
      <c r="K3" s="39"/>
      <c r="L3" s="39"/>
    </row>
    <row r="4" spans="1:12" ht="6.95" customHeight="1" x14ac:dyDescent="0.3">
      <c r="K4" s="106"/>
    </row>
    <row r="5" spans="1:12" ht="18.75" x14ac:dyDescent="0.3">
      <c r="A5" s="107"/>
      <c r="B5" s="355" t="s">
        <v>142</v>
      </c>
      <c r="C5" s="356"/>
      <c r="D5" s="356"/>
      <c r="E5" s="108"/>
      <c r="F5" s="108"/>
      <c r="G5" s="108"/>
      <c r="H5" s="107"/>
      <c r="I5" s="58"/>
      <c r="J5" s="58"/>
      <c r="K5" s="58"/>
    </row>
    <row r="6" spans="1:12" ht="15.75" x14ac:dyDescent="0.2">
      <c r="A6" s="109"/>
      <c r="B6" s="168">
        <f>Indtast!D13</f>
        <v>500</v>
      </c>
      <c r="C6" s="146"/>
      <c r="D6" s="169" t="str">
        <f>IF(Indtast!D14&gt;0,"årskøer","stipl.")</f>
        <v>årskøer</v>
      </c>
      <c r="E6" s="146"/>
      <c r="F6" s="170" t="str">
        <f>IF(Indtast!D14&gt;0,"kr. pr. årsko","kr. pr. stipl.")</f>
        <v>kr. pr. årsko</v>
      </c>
      <c r="G6" s="146"/>
      <c r="H6" s="171" t="s">
        <v>143</v>
      </c>
      <c r="I6" s="146"/>
      <c r="J6" s="146"/>
      <c r="K6" s="102"/>
      <c r="L6" s="39"/>
    </row>
    <row r="7" spans="1:12" ht="15.75" x14ac:dyDescent="0.25">
      <c r="A7" s="109"/>
      <c r="B7" s="144" t="s">
        <v>15</v>
      </c>
      <c r="C7" s="172"/>
      <c r="D7" s="172"/>
      <c r="E7" s="144"/>
      <c r="F7" s="163">
        <f>IF(Indtast!D$13&gt;0,ROUND(H7/Indtast!D$13,-2),0)</f>
        <v>22000</v>
      </c>
      <c r="G7" s="144"/>
      <c r="H7" s="163">
        <f>Indtast!D19*1000</f>
        <v>11000000</v>
      </c>
      <c r="I7" s="146"/>
      <c r="J7" s="146"/>
      <c r="K7" s="102"/>
      <c r="L7" s="39"/>
    </row>
    <row r="8" spans="1:12" ht="15.75" x14ac:dyDescent="0.2">
      <c r="A8" s="109"/>
      <c r="B8" s="144" t="s">
        <v>144</v>
      </c>
      <c r="C8" s="144"/>
      <c r="D8" s="144"/>
      <c r="E8" s="144"/>
      <c r="F8" s="163">
        <f>IF(Indtast!D$13&gt;0,ROUND(H8/Indtast!D$13,-2),0)</f>
        <v>50000</v>
      </c>
      <c r="G8" s="144"/>
      <c r="H8" s="163">
        <f>Investering!C6*1000</f>
        <v>25000000</v>
      </c>
      <c r="I8" s="146"/>
      <c r="J8" s="146"/>
      <c r="K8" s="102"/>
      <c r="L8" s="39"/>
    </row>
    <row r="9" spans="1:12" ht="15.75" x14ac:dyDescent="0.2">
      <c r="A9" s="109"/>
      <c r="B9" s="144" t="s">
        <v>18</v>
      </c>
      <c r="C9" s="144"/>
      <c r="D9" s="144"/>
      <c r="E9" s="144"/>
      <c r="F9" s="163">
        <f>IF(Indtast!D$13&gt;0,ROUND(H9/Indtast!D$13,-2),0)</f>
        <v>11800</v>
      </c>
      <c r="G9" s="144"/>
      <c r="H9" s="163">
        <f>Investering!C7*1000</f>
        <v>5875000</v>
      </c>
      <c r="I9" s="146"/>
      <c r="J9" s="146"/>
      <c r="K9" s="102"/>
      <c r="L9" s="39"/>
    </row>
    <row r="10" spans="1:12" ht="15.75" x14ac:dyDescent="0.2">
      <c r="A10" s="109"/>
      <c r="B10" s="144" t="s">
        <v>19</v>
      </c>
      <c r="C10" s="144"/>
      <c r="D10" s="144"/>
      <c r="E10" s="144"/>
      <c r="F10" s="163">
        <f>IF(Indtast!D$13&gt;0,ROUND(H10/Indtast!D$13,-2),0)</f>
        <v>10000</v>
      </c>
      <c r="G10" s="144"/>
      <c r="H10" s="163">
        <f>Investering!C8*1000</f>
        <v>5000000</v>
      </c>
      <c r="I10" s="146"/>
      <c r="J10" s="146"/>
      <c r="K10" s="102"/>
      <c r="L10" s="39"/>
    </row>
    <row r="11" spans="1:12" ht="15.75" x14ac:dyDescent="0.2">
      <c r="A11" s="109"/>
      <c r="B11" s="144" t="s">
        <v>145</v>
      </c>
      <c r="C11" s="144"/>
      <c r="D11" s="144"/>
      <c r="E11" s="144"/>
      <c r="F11" s="163">
        <f>IF(Indtast!D$13&gt;0,ROUND(H11/Indtast!D$13,-2),0)</f>
        <v>8500</v>
      </c>
      <c r="G11" s="144"/>
      <c r="H11" s="163">
        <f>ROUND((Investering!C9+Investering!C10)*1000,-3)</f>
        <v>4269000</v>
      </c>
      <c r="I11" s="146"/>
      <c r="J11" s="146"/>
      <c r="K11" s="102"/>
      <c r="L11" s="39"/>
    </row>
    <row r="12" spans="1:12" ht="15.75" x14ac:dyDescent="0.2">
      <c r="A12" s="109"/>
      <c r="B12" s="173" t="s">
        <v>22</v>
      </c>
      <c r="C12" s="144"/>
      <c r="D12" s="144"/>
      <c r="E12" s="144"/>
      <c r="F12" s="174">
        <f>SUM(F7:F11)</f>
        <v>102300</v>
      </c>
      <c r="G12" s="144"/>
      <c r="H12" s="174">
        <f>SUM(H7:H11)</f>
        <v>51144000</v>
      </c>
      <c r="I12" s="146"/>
      <c r="J12" s="146"/>
      <c r="K12" s="102"/>
      <c r="L12" s="111"/>
    </row>
    <row r="13" spans="1:12" ht="15.75" x14ac:dyDescent="0.25">
      <c r="A13" s="107"/>
      <c r="B13" s="142"/>
      <c r="C13" s="146"/>
      <c r="D13" s="146"/>
      <c r="E13" s="142"/>
      <c r="F13" s="142"/>
      <c r="G13" s="142"/>
      <c r="H13" s="175"/>
      <c r="I13" s="142"/>
      <c r="J13" s="142"/>
      <c r="K13" s="58"/>
    </row>
    <row r="14" spans="1:12" ht="15" hidden="1" x14ac:dyDescent="0.25">
      <c r="B14" s="142"/>
      <c r="C14" s="142"/>
      <c r="D14" s="142"/>
      <c r="E14" s="142"/>
      <c r="F14" s="142"/>
      <c r="G14" s="142"/>
      <c r="H14" s="142"/>
      <c r="I14" s="142"/>
      <c r="J14" s="142"/>
      <c r="K14" s="58"/>
    </row>
    <row r="15" spans="1:12" ht="15.75" hidden="1" x14ac:dyDescent="0.25">
      <c r="A15" s="108"/>
      <c r="B15" s="142"/>
      <c r="C15" s="142"/>
      <c r="D15" s="142"/>
      <c r="E15" s="142"/>
      <c r="F15" s="142"/>
      <c r="G15" s="142"/>
      <c r="H15" s="142"/>
      <c r="I15" s="142"/>
      <c r="J15" s="142"/>
      <c r="K15" s="108"/>
    </row>
    <row r="16" spans="1:12" ht="22.5" hidden="1" customHeight="1" x14ac:dyDescent="0.25">
      <c r="A16" s="112"/>
      <c r="B16" s="176" t="s">
        <v>146</v>
      </c>
      <c r="C16" s="176"/>
      <c r="D16" s="176"/>
      <c r="E16" s="176"/>
      <c r="F16" s="185" t="s">
        <v>147</v>
      </c>
      <c r="G16" s="185"/>
      <c r="H16" s="176" t="s">
        <v>148</v>
      </c>
      <c r="I16" s="185"/>
      <c r="J16" s="185" t="s">
        <v>149</v>
      </c>
      <c r="K16" s="113"/>
      <c r="L16" s="2"/>
    </row>
    <row r="17" spans="1:12" ht="15.75" hidden="1" x14ac:dyDescent="0.25">
      <c r="A17" s="112"/>
      <c r="B17" s="177" t="s">
        <v>150</v>
      </c>
      <c r="C17" s="177"/>
      <c r="D17" s="177"/>
      <c r="E17" s="177"/>
      <c r="F17" s="178">
        <f>+Indtast!D39*Indtast!J89+Indtast!D40*Indtast!J106</f>
        <v>0</v>
      </c>
      <c r="G17" s="178"/>
      <c r="H17" s="178">
        <f>+Indtast!D14*Indtast!J89+Indtast!D15*Indtast!J106</f>
        <v>0</v>
      </c>
      <c r="I17" s="178"/>
      <c r="J17" s="178">
        <f>SUM(F17:I17)</f>
        <v>0</v>
      </c>
      <c r="K17" s="113"/>
      <c r="L17" s="2"/>
    </row>
    <row r="18" spans="1:12" ht="15.75" hidden="1" x14ac:dyDescent="0.25">
      <c r="A18" s="112"/>
      <c r="B18" s="177" t="s">
        <v>151</v>
      </c>
      <c r="C18" s="177"/>
      <c r="D18" s="177"/>
      <c r="E18" s="177"/>
      <c r="F18" s="178" t="e">
        <f>+F17/Indtast!D132</f>
        <v>#DIV/0!</v>
      </c>
      <c r="G18" s="178"/>
      <c r="H18" s="178" t="e">
        <f>+H17/Indtast!D132</f>
        <v>#DIV/0!</v>
      </c>
      <c r="I18" s="178"/>
      <c r="J18" s="178" t="e">
        <f>SUM(F18:I18)</f>
        <v>#DIV/0!</v>
      </c>
      <c r="K18" s="113"/>
      <c r="L18" s="2"/>
    </row>
    <row r="19" spans="1:12" ht="15.75" x14ac:dyDescent="0.2">
      <c r="A19" s="110"/>
      <c r="B19" s="173" t="s">
        <v>112</v>
      </c>
      <c r="C19" s="144"/>
      <c r="D19" s="144"/>
      <c r="E19" s="144"/>
      <c r="F19" s="184" t="s">
        <v>147</v>
      </c>
      <c r="G19" s="184"/>
      <c r="H19" s="268" t="s">
        <v>148</v>
      </c>
      <c r="I19" s="184"/>
      <c r="J19" s="184" t="s">
        <v>149</v>
      </c>
      <c r="K19" s="114"/>
      <c r="L19" s="39"/>
    </row>
    <row r="20" spans="1:12" ht="15.75" x14ac:dyDescent="0.2">
      <c r="A20" s="110"/>
      <c r="B20" s="144" t="s">
        <v>152</v>
      </c>
      <c r="C20" s="144"/>
      <c r="D20" s="144"/>
      <c r="E20" s="144"/>
      <c r="F20" s="165">
        <f>Indtast!D39*Indtast!$D88+Indtast!D40*Indtast!$D105/60+Indtast!D42*Indtast!$D114</f>
        <v>13223.333333333334</v>
      </c>
      <c r="G20" s="180"/>
      <c r="H20" s="165">
        <f>Indtast!D14*Indtast!$D88+Indtast!D15*Indtast!D133*Indtast!$D105/60+Indtast!F79*Indtast!$D114</f>
        <v>13529.166666666666</v>
      </c>
      <c r="I20" s="180"/>
      <c r="J20" s="165">
        <f>SUM(F20:I20)</f>
        <v>26752.5</v>
      </c>
      <c r="K20" s="114"/>
      <c r="L20" s="39"/>
    </row>
    <row r="21" spans="1:12" ht="15" x14ac:dyDescent="0.2">
      <c r="A21" s="102"/>
      <c r="B21" s="144" t="s">
        <v>153</v>
      </c>
      <c r="C21" s="144"/>
      <c r="D21" s="144"/>
      <c r="E21" s="144"/>
      <c r="F21" s="181">
        <f>F20/1800</f>
        <v>7.3462962962962965</v>
      </c>
      <c r="G21" s="144"/>
      <c r="H21" s="181">
        <f>H20/1800</f>
        <v>7.5162037037037033</v>
      </c>
      <c r="I21" s="144"/>
      <c r="J21" s="181">
        <f>J20/1800</f>
        <v>14.862500000000001</v>
      </c>
      <c r="K21" s="102"/>
      <c r="L21" s="39"/>
    </row>
    <row r="22" spans="1:12" ht="15" x14ac:dyDescent="0.2">
      <c r="A22" s="102"/>
      <c r="B22" s="146"/>
      <c r="C22" s="146"/>
      <c r="D22" s="146"/>
      <c r="E22" s="146"/>
      <c r="F22" s="146"/>
      <c r="G22" s="146"/>
      <c r="H22" s="146"/>
      <c r="I22" s="146"/>
      <c r="J22" s="146"/>
      <c r="K22" s="102"/>
      <c r="L22" s="39"/>
    </row>
    <row r="23" spans="1:12" ht="15" x14ac:dyDescent="0.2">
      <c r="A23" s="102"/>
      <c r="B23" s="146"/>
      <c r="C23" s="146"/>
      <c r="D23" s="146"/>
      <c r="E23" s="146"/>
      <c r="F23" s="146"/>
      <c r="G23" s="146"/>
      <c r="H23" s="146"/>
      <c r="I23" s="146"/>
      <c r="J23" s="146"/>
      <c r="K23" s="102"/>
      <c r="L23" s="39"/>
    </row>
    <row r="24" spans="1:12" ht="15.75" x14ac:dyDescent="0.25">
      <c r="A24" s="108"/>
      <c r="B24" s="142"/>
      <c r="C24" s="142"/>
      <c r="D24" s="142"/>
      <c r="E24" s="142"/>
      <c r="F24" s="142"/>
      <c r="G24" s="142"/>
      <c r="H24" s="142"/>
      <c r="I24" s="142"/>
      <c r="J24" s="142"/>
      <c r="K24" s="108"/>
      <c r="L24" s="39"/>
    </row>
    <row r="25" spans="1:12" ht="15.75" x14ac:dyDescent="0.2">
      <c r="A25" s="110"/>
      <c r="B25" s="173" t="s">
        <v>41</v>
      </c>
      <c r="C25" s="144"/>
      <c r="D25" s="184" t="str">
        <f>Indtast!D$28</f>
        <v>1.000 kr.</v>
      </c>
      <c r="E25" s="182"/>
      <c r="F25" s="184" t="str">
        <f>Indtast!E28</f>
        <v>Løbetid, år</v>
      </c>
      <c r="G25" s="184"/>
      <c r="H25" s="184" t="str">
        <f>Indtast!G28</f>
        <v>Rente, pct</v>
      </c>
      <c r="I25" s="184"/>
      <c r="J25" s="184" t="str">
        <f>Indtast!H28</f>
        <v>Type</v>
      </c>
      <c r="K25" s="110"/>
      <c r="L25" s="39"/>
    </row>
    <row r="26" spans="1:12" ht="15.75" x14ac:dyDescent="0.2">
      <c r="A26" s="110"/>
      <c r="B26" s="144" t="str">
        <f>Indtast!B29</f>
        <v>Realkredit</v>
      </c>
      <c r="C26" s="144"/>
      <c r="D26" s="163">
        <f>Indtast!D29</f>
        <v>40000</v>
      </c>
      <c r="E26" s="144"/>
      <c r="F26" s="144">
        <f>Indtast!E29</f>
        <v>20</v>
      </c>
      <c r="G26" s="144"/>
      <c r="H26" s="183">
        <f>Indtast!F29</f>
        <v>7.0000000000000007E-2</v>
      </c>
      <c r="I26" s="144"/>
      <c r="J26" s="179" t="str">
        <f>Indtast!K29</f>
        <v>a</v>
      </c>
      <c r="K26" s="110"/>
      <c r="L26" s="39"/>
    </row>
    <row r="27" spans="1:12" ht="15.75" x14ac:dyDescent="0.2">
      <c r="A27" s="110"/>
      <c r="B27" s="144" t="str">
        <f>IF(Indtast!B30=0,0,Indtast!B30)</f>
        <v>Bank</v>
      </c>
      <c r="C27" s="144"/>
      <c r="D27" s="163">
        <f>Indtast!D30</f>
        <v>25000</v>
      </c>
      <c r="E27" s="144"/>
      <c r="F27" s="144">
        <f>Indtast!E30</f>
        <v>10</v>
      </c>
      <c r="G27" s="144"/>
      <c r="H27" s="183">
        <f>Indtast!F30</f>
        <v>0.06</v>
      </c>
      <c r="I27" s="144"/>
      <c r="J27" s="179" t="str">
        <f>Indtast!K30</f>
        <v>st</v>
      </c>
      <c r="K27" s="110"/>
      <c r="L27" s="39"/>
    </row>
    <row r="28" spans="1:12" ht="15.75" x14ac:dyDescent="0.2">
      <c r="A28" s="110"/>
      <c r="B28" s="144" t="str">
        <f>IF(Indtast!B31=0,0,Indtast!B31)</f>
        <v>Andet 1</v>
      </c>
      <c r="C28" s="144"/>
      <c r="D28" s="163">
        <f>Indtast!D31</f>
        <v>5000</v>
      </c>
      <c r="E28" s="144"/>
      <c r="F28" s="144">
        <f>Indtast!E31</f>
        <v>10</v>
      </c>
      <c r="G28" s="144"/>
      <c r="H28" s="183">
        <f>Indtast!F31</f>
        <v>0.1</v>
      </c>
      <c r="I28" s="144"/>
      <c r="J28" s="179" t="str">
        <f>Indtast!K31</f>
        <v>a</v>
      </c>
      <c r="K28" s="110"/>
      <c r="L28" s="39"/>
    </row>
    <row r="29" spans="1:12" ht="15.75" x14ac:dyDescent="0.2">
      <c r="A29" s="110"/>
      <c r="B29" s="144" t="str">
        <f>IF(Indtast!B32=0,0,Indtast!B32)</f>
        <v>Andet 2</v>
      </c>
      <c r="C29" s="144"/>
      <c r="D29" s="163">
        <f>Indtast!D32</f>
        <v>1500</v>
      </c>
      <c r="E29" s="144"/>
      <c r="F29" s="144">
        <f>Indtast!E32</f>
        <v>5</v>
      </c>
      <c r="G29" s="144"/>
      <c r="H29" s="183">
        <f>Indtast!F32</f>
        <v>0.12</v>
      </c>
      <c r="I29" s="144"/>
      <c r="J29" s="179" t="str">
        <f>Indtast!K32</f>
        <v>a</v>
      </c>
      <c r="K29" s="110"/>
      <c r="L29" s="39"/>
    </row>
    <row r="30" spans="1:12" ht="15.75" x14ac:dyDescent="0.2">
      <c r="A30" s="110"/>
      <c r="B30" s="144" t="s">
        <v>149</v>
      </c>
      <c r="C30" s="144"/>
      <c r="D30" s="174">
        <f>SUM(D26:D29)</f>
        <v>71500</v>
      </c>
      <c r="E30" s="144"/>
      <c r="F30" s="144"/>
      <c r="G30" s="144"/>
      <c r="H30" s="144"/>
      <c r="I30" s="144"/>
      <c r="J30" s="144"/>
      <c r="K30" s="110"/>
      <c r="L30" s="39"/>
    </row>
    <row r="31" spans="1:12" ht="15.75" x14ac:dyDescent="0.25">
      <c r="A31" s="108"/>
      <c r="B31" s="108"/>
      <c r="C31" s="108"/>
      <c r="D31" s="108"/>
      <c r="E31" s="108"/>
      <c r="F31" s="108"/>
      <c r="G31" s="108"/>
      <c r="H31" s="108"/>
      <c r="I31" s="108"/>
      <c r="J31" s="108"/>
      <c r="K31" s="108"/>
      <c r="L31" s="39"/>
    </row>
    <row r="32" spans="1:12" s="58" customFormat="1" ht="21.75" customHeight="1" x14ac:dyDescent="0.25">
      <c r="A32" s="108"/>
      <c r="B32" s="108"/>
      <c r="C32" s="108"/>
      <c r="D32" s="108"/>
      <c r="E32" s="108"/>
      <c r="F32" s="108"/>
      <c r="G32" s="108"/>
      <c r="H32" s="108"/>
      <c r="I32" s="108"/>
      <c r="J32" s="108"/>
      <c r="K32" s="108"/>
      <c r="L32" s="102"/>
    </row>
    <row r="33" spans="1:12" s="58" customFormat="1" ht="15.75" x14ac:dyDescent="0.25">
      <c r="A33" s="108"/>
      <c r="B33" s="108"/>
      <c r="C33" s="108"/>
      <c r="D33" s="108"/>
      <c r="E33" s="108"/>
      <c r="F33" s="108"/>
      <c r="G33" s="108"/>
      <c r="H33" s="108"/>
      <c r="I33" s="108"/>
      <c r="J33" s="108"/>
      <c r="K33" s="108"/>
      <c r="L33" s="102"/>
    </row>
    <row r="34" spans="1:12" ht="24.95" customHeight="1" x14ac:dyDescent="0.35">
      <c r="B34" s="195" t="s">
        <v>171</v>
      </c>
      <c r="C34" s="193"/>
      <c r="D34" s="193"/>
      <c r="E34" s="193"/>
      <c r="F34" s="193" t="s">
        <v>141</v>
      </c>
      <c r="G34" s="193"/>
      <c r="H34" s="193"/>
      <c r="I34" s="193"/>
      <c r="J34" s="392" t="s">
        <v>30</v>
      </c>
      <c r="K34" s="117"/>
    </row>
    <row r="35" spans="1:12" s="58" customFormat="1" ht="15" customHeight="1" x14ac:dyDescent="0.4">
      <c r="B35" s="116"/>
      <c r="C35" s="117"/>
      <c r="D35" s="117"/>
      <c r="E35" s="117"/>
      <c r="F35" s="117"/>
      <c r="G35" s="117"/>
      <c r="H35" s="117"/>
      <c r="I35" s="117"/>
      <c r="J35" s="118"/>
      <c r="K35" s="117"/>
    </row>
    <row r="36" spans="1:12" ht="18.75" x14ac:dyDescent="0.3">
      <c r="A36" s="108"/>
      <c r="B36" s="355" t="s">
        <v>154</v>
      </c>
      <c r="C36" s="357"/>
      <c r="D36" s="357"/>
      <c r="E36" s="108"/>
      <c r="F36" s="119" t="s">
        <v>155</v>
      </c>
      <c r="G36" s="58"/>
      <c r="H36" s="58"/>
      <c r="I36" s="58"/>
      <c r="J36" s="58"/>
      <c r="K36" s="108"/>
    </row>
    <row r="37" spans="1:12" ht="15.75" x14ac:dyDescent="0.25">
      <c r="A37" s="108"/>
      <c r="B37" s="142" t="s">
        <v>138</v>
      </c>
      <c r="C37" s="150">
        <f>Indtast!J133/100</f>
        <v>7.0000000000000007E-2</v>
      </c>
      <c r="D37" s="151">
        <f>Indtast!D$13</f>
        <v>500</v>
      </c>
      <c r="E37" s="142"/>
      <c r="F37" s="155" t="s">
        <v>156</v>
      </c>
      <c r="G37" s="155"/>
      <c r="H37" s="155"/>
      <c r="I37" s="142"/>
      <c r="J37" s="269"/>
      <c r="K37" s="108"/>
    </row>
    <row r="38" spans="1:12" ht="15.75" x14ac:dyDescent="0.25">
      <c r="A38" s="108"/>
      <c r="B38" s="142" t="s">
        <v>140</v>
      </c>
      <c r="C38" s="150">
        <f>Indtast!J134/100</f>
        <v>0.05</v>
      </c>
      <c r="D38" s="152" t="str">
        <f>IF(Indtast!D$14&gt;0,"årskøer","bås.")</f>
        <v>årskøer</v>
      </c>
      <c r="E38" s="142"/>
      <c r="F38" s="186" t="s">
        <v>157</v>
      </c>
      <c r="G38" s="187"/>
      <c r="H38" s="186" t="str">
        <f>IF(Indtast!D$14&gt;0,"pr. årsko","pr. stipl.")</f>
        <v>pr. årsko</v>
      </c>
      <c r="I38" s="188"/>
      <c r="J38" s="270"/>
      <c r="K38" s="120"/>
    </row>
    <row r="39" spans="1:12" ht="15.75" x14ac:dyDescent="0.25">
      <c r="A39" s="108"/>
      <c r="B39" s="153" t="s">
        <v>158</v>
      </c>
      <c r="C39" s="154">
        <f>Investering!F2</f>
        <v>2.0000000000000004E-2</v>
      </c>
      <c r="D39" s="153"/>
      <c r="E39" s="142"/>
      <c r="F39" s="142"/>
      <c r="G39" s="155"/>
      <c r="H39" s="156" t="s">
        <v>159</v>
      </c>
      <c r="I39" s="155"/>
      <c r="J39" s="271"/>
      <c r="K39" s="121"/>
    </row>
    <row r="40" spans="1:12" ht="15.75" x14ac:dyDescent="0.2">
      <c r="A40" s="110"/>
      <c r="B40" s="157" t="s">
        <v>160</v>
      </c>
      <c r="C40" s="146"/>
      <c r="D40" s="158">
        <f>F40</f>
        <v>7375000</v>
      </c>
      <c r="E40" s="146"/>
      <c r="F40" s="162">
        <f>ROUND(Indtast!D$14*Indtast!C$65+Indtast!D15*Indtast!D$133*Indtast!C$71,-3)</f>
        <v>7375000</v>
      </c>
      <c r="G40" s="160"/>
      <c r="H40" s="161">
        <f>IF(Indtast!D$13&gt;0,F40/Indtast!D$13,0)</f>
        <v>14750</v>
      </c>
      <c r="I40" s="147"/>
      <c r="J40" s="272"/>
      <c r="K40" s="123"/>
    </row>
    <row r="41" spans="1:12" ht="15.75" x14ac:dyDescent="0.2">
      <c r="A41" s="110"/>
      <c r="B41" s="146" t="s">
        <v>112</v>
      </c>
      <c r="C41" s="146"/>
      <c r="D41" s="146"/>
      <c r="E41" s="146"/>
      <c r="F41" s="158">
        <f>ROUND(+H$20*Indtast!D$130*-1,-3)</f>
        <v>-2841000</v>
      </c>
      <c r="G41" s="160"/>
      <c r="H41" s="161">
        <f>IF(Indtast!D13&gt;0,F41/Indtast!D$13,0)</f>
        <v>-5682</v>
      </c>
      <c r="I41" s="158"/>
      <c r="J41" s="272"/>
      <c r="K41" s="124"/>
    </row>
    <row r="42" spans="1:12" ht="15.75" x14ac:dyDescent="0.2">
      <c r="A42" s="110"/>
      <c r="B42" s="146" t="s">
        <v>161</v>
      </c>
      <c r="C42" s="146"/>
      <c r="D42" s="146"/>
      <c r="E42" s="146"/>
      <c r="F42" s="158">
        <f>ROUND((F78+F79+F81)*1000+(Indtast!C79*Indtast!J118),-3)</f>
        <v>-1568000</v>
      </c>
      <c r="G42" s="160"/>
      <c r="H42" s="161">
        <f>IF(Indtast!D$13&gt;0,F42/Indtast!D$13,0)</f>
        <v>-3136</v>
      </c>
      <c r="I42" s="147"/>
      <c r="J42" s="272"/>
      <c r="K42" s="124"/>
    </row>
    <row r="43" spans="1:12" ht="15.75" x14ac:dyDescent="0.2">
      <c r="A43" s="110"/>
      <c r="B43" s="144" t="s">
        <v>162</v>
      </c>
      <c r="C43" s="144"/>
      <c r="D43" s="144"/>
      <c r="E43" s="144"/>
      <c r="F43" s="163">
        <f>ROUND(+Investering!F$11*-1000,-3)</f>
        <v>-2510000</v>
      </c>
      <c r="G43" s="164"/>
      <c r="H43" s="165">
        <f>IF(Indtast!D13&gt;0,ROUND(Investering!F$11*-1000/Indtast!D$13,-1),0)</f>
        <v>-5020</v>
      </c>
      <c r="I43" s="164"/>
      <c r="J43" s="273"/>
      <c r="K43" s="124"/>
    </row>
    <row r="44" spans="1:12" ht="15.75" x14ac:dyDescent="0.2">
      <c r="A44" s="110"/>
      <c r="B44" s="157" t="s">
        <v>163</v>
      </c>
      <c r="C44" s="146"/>
      <c r="D44" s="146"/>
      <c r="E44" s="146"/>
      <c r="F44" s="166">
        <f>SUM(F40:F43)</f>
        <v>456000</v>
      </c>
      <c r="G44" s="167"/>
      <c r="H44" s="159">
        <f>SUM(H40:H43)</f>
        <v>912</v>
      </c>
      <c r="I44" s="160"/>
      <c r="J44" s="274"/>
      <c r="K44" s="124"/>
    </row>
    <row r="45" spans="1:12" ht="15.75" x14ac:dyDescent="0.25">
      <c r="A45" s="108"/>
      <c r="B45" s="125" t="s">
        <v>164</v>
      </c>
      <c r="C45" s="126"/>
      <c r="D45" s="127"/>
      <c r="E45" s="127"/>
      <c r="F45" s="127"/>
      <c r="G45" s="127"/>
      <c r="H45" s="127"/>
      <c r="I45" s="127"/>
      <c r="J45" s="127"/>
      <c r="K45" s="127"/>
    </row>
    <row r="46" spans="1:12" x14ac:dyDescent="0.2">
      <c r="B46" s="58"/>
      <c r="C46" s="58"/>
      <c r="D46" s="58"/>
      <c r="E46" s="58"/>
      <c r="F46" s="58"/>
      <c r="G46" s="58"/>
      <c r="H46" s="58"/>
      <c r="I46" s="58"/>
      <c r="J46" s="58"/>
      <c r="K46" s="58"/>
    </row>
    <row r="47" spans="1:12" x14ac:dyDescent="0.2">
      <c r="B47" s="58"/>
      <c r="C47" s="58"/>
      <c r="D47" s="58"/>
      <c r="E47" s="58"/>
      <c r="F47" s="58"/>
      <c r="G47" s="58"/>
      <c r="H47" s="58"/>
      <c r="I47" s="58"/>
      <c r="J47" s="58"/>
      <c r="K47" s="58"/>
    </row>
    <row r="48" spans="1:12" ht="15.75" x14ac:dyDescent="0.25">
      <c r="B48" s="129" t="s">
        <v>165</v>
      </c>
      <c r="C48" s="58"/>
      <c r="D48" s="141" t="str">
        <f>H38</f>
        <v>pr. årsko</v>
      </c>
      <c r="E48" s="142"/>
      <c r="F48" s="141" t="s">
        <v>166</v>
      </c>
      <c r="G48" s="142"/>
      <c r="H48" s="143">
        <f>H44</f>
        <v>912</v>
      </c>
      <c r="I48" s="58"/>
      <c r="J48" s="58"/>
      <c r="K48" s="58"/>
    </row>
    <row r="49" spans="1:11" ht="15.75" x14ac:dyDescent="0.25">
      <c r="A49" s="102"/>
      <c r="B49" s="140" t="s">
        <v>276</v>
      </c>
      <c r="C49" s="139"/>
      <c r="D49" s="144"/>
      <c r="E49" s="144"/>
      <c r="F49" s="144"/>
      <c r="G49" s="144"/>
      <c r="H49" s="145" t="s">
        <v>167</v>
      </c>
      <c r="I49" s="102"/>
      <c r="J49" s="58"/>
      <c r="K49" s="102"/>
    </row>
    <row r="50" spans="1:11" ht="15" x14ac:dyDescent="0.2">
      <c r="A50" s="102"/>
      <c r="B50" s="146" t="s">
        <v>168</v>
      </c>
      <c r="C50" s="146"/>
      <c r="D50" s="146"/>
      <c r="E50" s="146"/>
      <c r="F50" s="190">
        <v>0.2</v>
      </c>
      <c r="G50" s="149"/>
      <c r="H50" s="148">
        <f>IF(Indtast!D13&gt;0,ROUND(Investering!H$12*-1000/Indtast!D$13,-1),0)</f>
        <v>870</v>
      </c>
      <c r="I50" s="102"/>
      <c r="J50" s="58"/>
      <c r="K50" s="102"/>
    </row>
    <row r="51" spans="1:11" ht="15" x14ac:dyDescent="0.2">
      <c r="A51" s="102"/>
      <c r="B51" s="146" t="s">
        <v>169</v>
      </c>
      <c r="C51" s="146"/>
      <c r="D51" s="146" t="s">
        <v>170</v>
      </c>
      <c r="E51" s="146"/>
      <c r="F51" s="189">
        <v>6</v>
      </c>
      <c r="G51" s="147"/>
      <c r="H51" s="148">
        <f>IF(Indtast!D13&gt;0,ROUND(Investering!J$12*-1000/Indtast!D$13,-1),0)</f>
        <v>1500</v>
      </c>
      <c r="I51" s="102"/>
      <c r="J51" s="102"/>
      <c r="K51" s="102"/>
    </row>
    <row r="52" spans="1:11" ht="15" x14ac:dyDescent="0.2">
      <c r="A52" s="102"/>
      <c r="B52" s="146" t="s">
        <v>112</v>
      </c>
      <c r="C52" s="146"/>
      <c r="D52" s="146"/>
      <c r="E52" s="146"/>
      <c r="F52" s="190">
        <v>0.25</v>
      </c>
      <c r="G52" s="149"/>
      <c r="H52" s="148">
        <f>ROUND(H41*F52*-1,-1)</f>
        <v>1420</v>
      </c>
      <c r="I52" s="102"/>
      <c r="J52" s="102"/>
      <c r="K52" s="102"/>
    </row>
    <row r="53" spans="1:11" ht="15" x14ac:dyDescent="0.2">
      <c r="A53" s="102"/>
      <c r="B53" s="146" t="s">
        <v>138</v>
      </c>
      <c r="C53" s="146"/>
      <c r="D53" s="146"/>
      <c r="E53" s="146"/>
      <c r="F53" s="191">
        <v>0.01</v>
      </c>
      <c r="G53" s="149"/>
      <c r="H53" s="148">
        <f>IF(Indtast!D13&gt;0,ROUND(Investering!K$12*1000/Indtast!D$13,-1),0)</f>
        <v>510</v>
      </c>
      <c r="I53" s="102"/>
      <c r="J53" s="102"/>
      <c r="K53" s="102"/>
    </row>
    <row r="54" spans="1:11" ht="15" x14ac:dyDescent="0.2">
      <c r="A54" s="102"/>
      <c r="B54" s="146" t="s">
        <v>259</v>
      </c>
      <c r="C54" s="146"/>
      <c r="D54" s="146"/>
      <c r="E54" s="146"/>
      <c r="F54" s="147" t="str">
        <f>IF(Finans!G$46=0,"over 20",Finans!G$26)</f>
        <v>over 20</v>
      </c>
      <c r="G54" s="146"/>
      <c r="H54" s="146"/>
      <c r="I54" s="102"/>
      <c r="J54" s="102"/>
      <c r="K54" s="102"/>
    </row>
    <row r="55" spans="1:11" ht="15.75" x14ac:dyDescent="0.25">
      <c r="B55" s="107"/>
      <c r="C55" s="108"/>
      <c r="D55" s="108"/>
      <c r="E55" s="108"/>
      <c r="F55" s="108"/>
      <c r="G55" s="108"/>
      <c r="H55" s="58"/>
      <c r="I55" s="58"/>
      <c r="J55" s="58"/>
      <c r="K55" s="58"/>
    </row>
    <row r="56" spans="1:11" ht="15.75" x14ac:dyDescent="0.25">
      <c r="B56" s="128"/>
      <c r="C56" s="108"/>
      <c r="D56" s="108"/>
      <c r="E56" s="108"/>
      <c r="F56" s="108"/>
      <c r="G56" s="108"/>
      <c r="H56" s="58"/>
      <c r="I56" s="58"/>
      <c r="J56" s="58"/>
      <c r="K56" s="58"/>
    </row>
    <row r="57" spans="1:11" ht="15.75" x14ac:dyDescent="0.25">
      <c r="B57" s="129"/>
      <c r="C57" s="108"/>
      <c r="D57" s="108"/>
      <c r="E57" s="108"/>
      <c r="F57" s="108"/>
      <c r="G57" s="108"/>
      <c r="H57" s="58"/>
      <c r="I57" s="58"/>
      <c r="J57" s="58"/>
      <c r="K57" s="58"/>
    </row>
    <row r="58" spans="1:11" ht="15.75" x14ac:dyDescent="0.25">
      <c r="B58" s="129"/>
      <c r="C58" s="108"/>
      <c r="D58" s="108"/>
      <c r="E58" s="108"/>
      <c r="F58" s="108"/>
      <c r="G58" s="108"/>
      <c r="H58" s="58"/>
      <c r="I58" s="58"/>
      <c r="J58" s="58"/>
      <c r="K58" s="58"/>
    </row>
    <row r="59" spans="1:11" ht="24.95" customHeight="1" x14ac:dyDescent="0.35">
      <c r="A59" s="194"/>
      <c r="B59" s="192" t="s">
        <v>171</v>
      </c>
      <c r="C59" s="193"/>
      <c r="D59" s="193"/>
      <c r="E59" s="193"/>
      <c r="F59" s="193" t="s">
        <v>141</v>
      </c>
      <c r="G59" s="193"/>
      <c r="H59" s="193"/>
      <c r="I59" s="193"/>
      <c r="J59" s="392" t="s">
        <v>250</v>
      </c>
      <c r="K59" s="117"/>
    </row>
    <row r="60" spans="1:11" x14ac:dyDescent="0.2">
      <c r="B60" s="58"/>
      <c r="C60" s="58"/>
      <c r="D60" s="58"/>
      <c r="E60" s="58"/>
      <c r="F60" s="58"/>
      <c r="G60" s="58"/>
      <c r="H60" s="58"/>
      <c r="I60" s="58"/>
      <c r="J60" s="58"/>
      <c r="K60" s="58"/>
    </row>
    <row r="61" spans="1:11" ht="21" x14ac:dyDescent="0.2">
      <c r="B61" s="122" t="s">
        <v>172</v>
      </c>
      <c r="C61" s="102"/>
      <c r="D61" s="196" t="s">
        <v>173</v>
      </c>
      <c r="E61" s="197" t="s">
        <v>174</v>
      </c>
      <c r="F61" s="198" t="s">
        <v>175</v>
      </c>
      <c r="G61" s="197" t="s">
        <v>176</v>
      </c>
      <c r="H61" s="199" t="s">
        <v>177</v>
      </c>
      <c r="I61" s="200"/>
      <c r="J61" s="198" t="s">
        <v>178</v>
      </c>
      <c r="K61" s="130"/>
    </row>
    <row r="62" spans="1:11" ht="15" x14ac:dyDescent="0.2">
      <c r="A62" s="102"/>
      <c r="B62" s="157" t="s">
        <v>179</v>
      </c>
      <c r="C62" s="146"/>
      <c r="D62" s="159">
        <f>Indtast!D39</f>
        <v>400</v>
      </c>
      <c r="E62" s="159"/>
      <c r="F62" s="159">
        <f>Indtast!D14</f>
        <v>500</v>
      </c>
      <c r="G62" s="159"/>
      <c r="H62" s="159">
        <f>D62+F62</f>
        <v>900</v>
      </c>
      <c r="I62" s="157"/>
      <c r="J62" s="159">
        <f>H62</f>
        <v>900</v>
      </c>
      <c r="K62" s="131"/>
    </row>
    <row r="63" spans="1:11" ht="15" x14ac:dyDescent="0.2">
      <c r="A63" s="102"/>
      <c r="B63" s="359" t="s">
        <v>180</v>
      </c>
      <c r="C63" s="359"/>
      <c r="D63" s="360">
        <f>IF(D62&gt;0,+Indtast!C64,0)</f>
        <v>13500</v>
      </c>
      <c r="E63" s="360"/>
      <c r="F63" s="360"/>
      <c r="G63" s="360"/>
      <c r="H63" s="360">
        <f>IF(H62&gt;0,(Indtast!D39*Indtast!G67+Indtast!D14*Indtast!G68)/H62,0)</f>
        <v>11249.993999999999</v>
      </c>
      <c r="I63" s="361"/>
      <c r="J63" s="360">
        <f>IF(J62&gt;0,+Indtast!C65,0)</f>
        <v>13500</v>
      </c>
      <c r="K63" s="131"/>
    </row>
    <row r="64" spans="1:11" ht="15" x14ac:dyDescent="0.2">
      <c r="A64" s="102"/>
      <c r="B64" s="157" t="s">
        <v>181</v>
      </c>
      <c r="C64" s="146"/>
      <c r="D64" s="159">
        <f>Indtast!D40</f>
        <v>200</v>
      </c>
      <c r="E64" s="159"/>
      <c r="F64" s="159">
        <f>Indtast!D15*Indtast!D133</f>
        <v>250</v>
      </c>
      <c r="G64" s="159"/>
      <c r="H64" s="159">
        <f>D64+F64</f>
        <v>450</v>
      </c>
      <c r="I64" s="157"/>
      <c r="J64" s="159">
        <f>H64</f>
        <v>450</v>
      </c>
      <c r="K64" s="131"/>
    </row>
    <row r="65" spans="1:12" ht="15" x14ac:dyDescent="0.2">
      <c r="A65" s="102"/>
      <c r="B65" s="359" t="s">
        <v>182</v>
      </c>
      <c r="C65" s="359"/>
      <c r="D65" s="362">
        <f>IF(D64&gt;0,Indtast!C71,0)</f>
        <v>2500</v>
      </c>
      <c r="E65" s="362"/>
      <c r="F65" s="360">
        <f>IF(F64=0,0,(H64*H65-D64*D65)/F64)</f>
        <v>2050</v>
      </c>
      <c r="G65" s="362"/>
      <c r="H65" s="360">
        <f>IF(H64&gt;0,Indtast!G71,0)</f>
        <v>2250</v>
      </c>
      <c r="I65" s="361"/>
      <c r="J65" s="362">
        <f>IF(J64&gt;0,Indtast!C71,0)</f>
        <v>2500</v>
      </c>
      <c r="K65" s="131"/>
    </row>
    <row r="66" spans="1:12" ht="15" x14ac:dyDescent="0.2">
      <c r="A66" s="132"/>
      <c r="B66" s="363"/>
      <c r="C66" s="363"/>
      <c r="D66" s="364"/>
      <c r="E66" s="364"/>
      <c r="F66" s="218"/>
      <c r="G66" s="364"/>
      <c r="H66" s="218"/>
      <c r="I66" s="210"/>
      <c r="J66" s="364"/>
      <c r="K66" s="133"/>
      <c r="L66" s="2"/>
    </row>
    <row r="67" spans="1:12" ht="15" x14ac:dyDescent="0.2">
      <c r="A67" s="132"/>
      <c r="B67" s="363"/>
      <c r="C67" s="363"/>
      <c r="D67" s="364"/>
      <c r="E67" s="364"/>
      <c r="F67" s="218"/>
      <c r="G67" s="364"/>
      <c r="H67" s="218"/>
      <c r="I67" s="210"/>
      <c r="J67" s="364"/>
      <c r="K67" s="133"/>
      <c r="L67" s="2"/>
    </row>
    <row r="68" spans="1:12" ht="15" x14ac:dyDescent="0.2">
      <c r="A68" s="102"/>
      <c r="B68" s="157" t="s">
        <v>183</v>
      </c>
      <c r="C68" s="146"/>
      <c r="D68" s="159">
        <f>Indtast!D42</f>
        <v>400</v>
      </c>
      <c r="E68" s="159"/>
      <c r="F68" s="159">
        <f>Indtast!D16</f>
        <v>125</v>
      </c>
      <c r="G68" s="159"/>
      <c r="H68" s="159">
        <f>D68+F68</f>
        <v>525</v>
      </c>
      <c r="I68" s="157"/>
      <c r="J68" s="159">
        <f>H68</f>
        <v>525</v>
      </c>
      <c r="K68" s="131"/>
    </row>
    <row r="69" spans="1:12" ht="15" x14ac:dyDescent="0.2">
      <c r="A69" s="102"/>
      <c r="B69" s="359" t="s">
        <v>184</v>
      </c>
      <c r="C69" s="359"/>
      <c r="D69" s="362">
        <f>Indtast!E77</f>
        <v>800</v>
      </c>
      <c r="E69" s="362"/>
      <c r="F69" s="362">
        <f>Indtast!C77</f>
        <v>800</v>
      </c>
      <c r="G69" s="362"/>
      <c r="H69" s="362">
        <f>IF(H68&gt;0,(D68*D69+F68*F69)/H68,0)</f>
        <v>800</v>
      </c>
      <c r="I69" s="361"/>
      <c r="J69" s="362">
        <f>H69</f>
        <v>800</v>
      </c>
      <c r="K69" s="131"/>
    </row>
    <row r="70" spans="1:12" x14ac:dyDescent="0.2">
      <c r="B70" s="58"/>
      <c r="C70" s="58"/>
      <c r="D70" s="58"/>
      <c r="E70" s="58"/>
      <c r="F70" s="58"/>
      <c r="G70" s="58"/>
      <c r="H70" s="58"/>
      <c r="I70" s="58"/>
      <c r="J70" s="58"/>
      <c r="K70" s="134"/>
    </row>
    <row r="71" spans="1:12" x14ac:dyDescent="0.2">
      <c r="B71" s="58"/>
      <c r="C71" s="58"/>
      <c r="D71" s="58"/>
      <c r="E71" s="58"/>
      <c r="F71" s="58"/>
      <c r="G71" s="58"/>
      <c r="H71" s="58"/>
      <c r="I71" s="58"/>
      <c r="J71" s="58"/>
      <c r="K71" s="58"/>
    </row>
    <row r="72" spans="1:12" ht="21" x14ac:dyDescent="0.2">
      <c r="B72" s="358" t="s">
        <v>163</v>
      </c>
      <c r="C72" s="102"/>
      <c r="D72" s="196" t="s">
        <v>173</v>
      </c>
      <c r="E72" s="197" t="s">
        <v>174</v>
      </c>
      <c r="F72" s="332" t="s">
        <v>175</v>
      </c>
      <c r="G72" s="197" t="s">
        <v>176</v>
      </c>
      <c r="H72" s="334" t="s">
        <v>177</v>
      </c>
      <c r="I72" s="200"/>
      <c r="J72" s="332" t="str">
        <f>J61</f>
        <v>Normalt år</v>
      </c>
      <c r="K72" s="102"/>
    </row>
    <row r="73" spans="1:12" x14ac:dyDescent="0.2">
      <c r="A73" s="102"/>
      <c r="B73" s="102"/>
      <c r="C73" s="102"/>
      <c r="D73" s="135" t="s">
        <v>185</v>
      </c>
      <c r="E73" s="136"/>
      <c r="F73" s="333"/>
      <c r="G73" s="136"/>
      <c r="H73" s="333"/>
      <c r="I73" s="102"/>
      <c r="J73" s="335"/>
      <c r="K73" s="102"/>
    </row>
    <row r="74" spans="1:12" ht="15.75" x14ac:dyDescent="0.2">
      <c r="A74" s="110"/>
      <c r="B74" s="146" t="s">
        <v>186</v>
      </c>
      <c r="C74" s="146"/>
      <c r="D74" s="158">
        <f>(D62*D63+D64*D65)/1000</f>
        <v>5900</v>
      </c>
      <c r="E74" s="158"/>
      <c r="F74" s="365">
        <f>H74-D74</f>
        <v>5237.4946</v>
      </c>
      <c r="G74" s="158"/>
      <c r="H74" s="365">
        <f>(H62*H63+H64*H65)/1000</f>
        <v>11137.4946</v>
      </c>
      <c r="I74" s="146"/>
      <c r="J74" s="365">
        <f>(J62*J63+J64*J65)/1000</f>
        <v>13275</v>
      </c>
      <c r="K74" s="102"/>
    </row>
    <row r="75" spans="1:12" ht="15.75" x14ac:dyDescent="0.2">
      <c r="A75" s="110"/>
      <c r="B75" s="146" t="s">
        <v>187</v>
      </c>
      <c r="C75" s="146"/>
      <c r="D75" s="158">
        <f>(D68*D69)/1000</f>
        <v>320</v>
      </c>
      <c r="E75" s="158"/>
      <c r="F75" s="365">
        <f>(F68*F69)/1000</f>
        <v>100</v>
      </c>
      <c r="G75" s="158"/>
      <c r="H75" s="365">
        <f>SUM(D75:F75)</f>
        <v>420</v>
      </c>
      <c r="I75" s="146"/>
      <c r="J75" s="365">
        <f>(J68*J69)/1000</f>
        <v>420</v>
      </c>
      <c r="K75" s="102"/>
    </row>
    <row r="76" spans="1:12" ht="15.75" x14ac:dyDescent="0.2">
      <c r="A76" s="110"/>
      <c r="B76" s="144" t="str">
        <f>Indtast!B45</f>
        <v>Diverse indtægter</v>
      </c>
      <c r="C76" s="144"/>
      <c r="D76" s="163">
        <f>Indtast!D45</f>
        <v>5</v>
      </c>
      <c r="E76" s="163"/>
      <c r="F76" s="366"/>
      <c r="G76" s="163"/>
      <c r="H76" s="366">
        <f>Indtast!D45</f>
        <v>5</v>
      </c>
      <c r="I76" s="144"/>
      <c r="J76" s="366">
        <f>Indtast!D45</f>
        <v>5</v>
      </c>
      <c r="K76" s="102"/>
    </row>
    <row r="77" spans="1:12" ht="15.75" x14ac:dyDescent="0.2">
      <c r="B77" s="157" t="s">
        <v>188</v>
      </c>
      <c r="C77" s="157"/>
      <c r="D77" s="166">
        <f>SUM(D74:D76)</f>
        <v>6225</v>
      </c>
      <c r="E77" s="367"/>
      <c r="F77" s="368">
        <f>SUM(F74:F76)</f>
        <v>5337.4946</v>
      </c>
      <c r="G77" s="367"/>
      <c r="H77" s="368">
        <f>SUM(H74:H76)</f>
        <v>11562.4946</v>
      </c>
      <c r="I77" s="146"/>
      <c r="J77" s="368">
        <f>SUM(J74:J76)</f>
        <v>13700</v>
      </c>
      <c r="K77" s="115"/>
    </row>
    <row r="78" spans="1:12" ht="15.75" x14ac:dyDescent="0.2">
      <c r="A78" s="110"/>
      <c r="B78" s="146" t="s">
        <v>189</v>
      </c>
      <c r="C78" s="146"/>
      <c r="D78" s="158">
        <f>Indtast!D46+Indtast!D47</f>
        <v>0</v>
      </c>
      <c r="E78" s="158"/>
      <c r="F78" s="365">
        <f>(F$62*Indtast!D90+F$64*Indtast!D107+F$68*Indtast!D116+Indtast!C79*Indtast!J118)/-1000</f>
        <v>-475</v>
      </c>
      <c r="G78" s="158"/>
      <c r="H78" s="365">
        <f>SUM(D78:F78)</f>
        <v>-475</v>
      </c>
      <c r="I78" s="146"/>
      <c r="J78" s="365">
        <f>H78</f>
        <v>-475</v>
      </c>
      <c r="K78" s="137"/>
    </row>
    <row r="79" spans="1:12" ht="15.75" x14ac:dyDescent="0.2">
      <c r="A79" s="110"/>
      <c r="B79" s="146" t="s">
        <v>36</v>
      </c>
      <c r="C79" s="146"/>
      <c r="D79" s="158">
        <f>Indtast!D48</f>
        <v>0</v>
      </c>
      <c r="E79" s="369"/>
      <c r="F79" s="365">
        <f>(F$62*Indtast!D91+F$64*Indtast!D108+F$68*Indtast!D117)/-1000</f>
        <v>-872.5</v>
      </c>
      <c r="G79" s="369"/>
      <c r="H79" s="365">
        <f>SUM(D79:F79)</f>
        <v>-872.5</v>
      </c>
      <c r="I79" s="146"/>
      <c r="J79" s="365">
        <f>H79</f>
        <v>-872.5</v>
      </c>
      <c r="K79" s="102"/>
    </row>
    <row r="80" spans="1:12" ht="15.75" x14ac:dyDescent="0.2">
      <c r="A80" s="110"/>
      <c r="B80" s="146" t="s">
        <v>190</v>
      </c>
      <c r="C80" s="146"/>
      <c r="D80" s="158">
        <f>Indtast!D49</f>
        <v>0</v>
      </c>
      <c r="E80" s="369"/>
      <c r="F80" s="365">
        <f>IF(Indtast!D78&lt;0,Indtast!D78,Indtast!E78)-D80</f>
        <v>-2841.125</v>
      </c>
      <c r="G80" s="369"/>
      <c r="H80" s="365">
        <f>SUM(D80:F80)</f>
        <v>-2841.125</v>
      </c>
      <c r="I80" s="146"/>
      <c r="J80" s="365">
        <f>H80</f>
        <v>-2841.125</v>
      </c>
      <c r="K80" s="102"/>
    </row>
    <row r="81" spans="1:11" ht="15.75" x14ac:dyDescent="0.2">
      <c r="A81" s="110"/>
      <c r="B81" s="144" t="s">
        <v>191</v>
      </c>
      <c r="C81" s="144"/>
      <c r="D81" s="163">
        <f>SUM(Indtast!D50:D51)</f>
        <v>0</v>
      </c>
      <c r="E81" s="370"/>
      <c r="F81" s="366">
        <f>(F$62*Indtast!D92+F$64*Indtast!D109+F$68*Indtast!D118)/-1000</f>
        <v>-220</v>
      </c>
      <c r="G81" s="370"/>
      <c r="H81" s="366">
        <f>SUM(D81:F81)</f>
        <v>-220</v>
      </c>
      <c r="I81" s="144"/>
      <c r="J81" s="366">
        <f>H81</f>
        <v>-220</v>
      </c>
      <c r="K81" s="102"/>
    </row>
    <row r="82" spans="1:11" ht="15" x14ac:dyDescent="0.2">
      <c r="B82" s="157" t="s">
        <v>192</v>
      </c>
      <c r="C82" s="146"/>
      <c r="D82" s="166">
        <f>SUM(D78:D81)</f>
        <v>0</v>
      </c>
      <c r="E82" s="369"/>
      <c r="F82" s="368">
        <f>SUM(F78:F81)</f>
        <v>-4408.625</v>
      </c>
      <c r="G82" s="369"/>
      <c r="H82" s="368">
        <f>SUM(H78:H81)</f>
        <v>-4408.625</v>
      </c>
      <c r="I82" s="146"/>
      <c r="J82" s="368">
        <f>SUM(J78:J81)</f>
        <v>-4408.625</v>
      </c>
      <c r="K82" s="102"/>
    </row>
    <row r="83" spans="1:11" ht="15.75" x14ac:dyDescent="0.2">
      <c r="A83" s="110"/>
      <c r="B83" s="146" t="s">
        <v>40</v>
      </c>
      <c r="C83" s="146"/>
      <c r="D83" s="158">
        <f>Indtast!D52</f>
        <v>0</v>
      </c>
      <c r="E83" s="369"/>
      <c r="F83" s="365">
        <f>(Indtast!C20*Investering!E6+Indtast!C21*Investering!E7)*-1</f>
        <v>-1881.25</v>
      </c>
      <c r="G83" s="369"/>
      <c r="H83" s="365">
        <f>SUM(D83:F83)</f>
        <v>-1881.25</v>
      </c>
      <c r="I83" s="146"/>
      <c r="J83" s="365">
        <f>H83</f>
        <v>-1881.25</v>
      </c>
      <c r="K83" s="102"/>
    </row>
    <row r="84" spans="1:11" ht="15.75" x14ac:dyDescent="0.2">
      <c r="A84" s="110"/>
      <c r="B84" s="146" t="s">
        <v>41</v>
      </c>
      <c r="C84" s="146"/>
      <c r="D84" s="158">
        <f>Indtast!D53</f>
        <v>-1500</v>
      </c>
      <c r="E84" s="369"/>
      <c r="F84" s="365">
        <f>Finans!D16*-1</f>
        <v>-4980</v>
      </c>
      <c r="G84" s="369"/>
      <c r="H84" s="365">
        <f>SUM(D84:F84)</f>
        <v>-6480</v>
      </c>
      <c r="I84" s="146"/>
      <c r="J84" s="365">
        <f>'3  aars'!G28</f>
        <v>-6081.6448800615717</v>
      </c>
      <c r="K84" s="102"/>
    </row>
    <row r="85" spans="1:11" ht="15.75" x14ac:dyDescent="0.2">
      <c r="A85" s="110"/>
      <c r="B85" s="144" t="s">
        <v>42</v>
      </c>
      <c r="C85" s="144"/>
      <c r="D85" s="163">
        <f>Indtast!D54</f>
        <v>0</v>
      </c>
      <c r="E85" s="370"/>
      <c r="F85" s="371"/>
      <c r="G85" s="370"/>
      <c r="H85" s="366">
        <f>SUM(D85:F85)</f>
        <v>0</v>
      </c>
      <c r="I85" s="144"/>
      <c r="J85" s="366">
        <f>H85</f>
        <v>0</v>
      </c>
      <c r="K85" s="102"/>
    </row>
    <row r="86" spans="1:11" ht="15.75" x14ac:dyDescent="0.2">
      <c r="B86" s="157" t="s">
        <v>193</v>
      </c>
      <c r="C86" s="157"/>
      <c r="D86" s="166">
        <f>SUM(D77,D82:D85)</f>
        <v>4725</v>
      </c>
      <c r="E86" s="367"/>
      <c r="F86" s="368">
        <f>SUM(F77,F82:F85)</f>
        <v>-5932.3804</v>
      </c>
      <c r="G86" s="367"/>
      <c r="H86" s="368">
        <f>SUM(H77,H82:H85)</f>
        <v>-1207.3804</v>
      </c>
      <c r="I86" s="146"/>
      <c r="J86" s="368">
        <f>SUM(J77,J82:J85)</f>
        <v>1328.4801199384283</v>
      </c>
      <c r="K86" s="115"/>
    </row>
    <row r="87" spans="1:11" ht="15.75" x14ac:dyDescent="0.2">
      <c r="A87" s="110"/>
      <c r="B87" s="146" t="s">
        <v>194</v>
      </c>
      <c r="C87" s="146"/>
      <c r="D87" s="158">
        <f>IF(D86-Indtast!$L137&lt;0,0,(D86-Indtast!$L137-Indtast!$D136)*Indtast!$F137*-1)</f>
        <v>0</v>
      </c>
      <c r="E87" s="369"/>
      <c r="F87" s="372"/>
      <c r="G87" s="369"/>
      <c r="H87" s="365">
        <f>IF(H86-Indtast!$L137&lt;0,0,(H86-Indtast!$L137-Indtast!$D136)*Indtast!$F137*-1)</f>
        <v>0</v>
      </c>
      <c r="I87" s="146"/>
      <c r="J87" s="365">
        <f>IF(J86-Indtast!$L137&lt;0,0,(J86-Indtast!$L137-Indtast!$D136)*Indtast!$F137*-1)</f>
        <v>0</v>
      </c>
      <c r="K87" s="102"/>
    </row>
    <row r="88" spans="1:11" ht="15.75" x14ac:dyDescent="0.2">
      <c r="A88" s="110"/>
      <c r="B88" s="146" t="s">
        <v>195</v>
      </c>
      <c r="C88" s="146"/>
      <c r="D88" s="158">
        <f>Indtast!D55</f>
        <v>0</v>
      </c>
      <c r="E88" s="369"/>
      <c r="F88" s="372"/>
      <c r="G88" s="369"/>
      <c r="H88" s="365">
        <f>D88</f>
        <v>0</v>
      </c>
      <c r="I88" s="146"/>
      <c r="J88" s="365">
        <f>H88</f>
        <v>0</v>
      </c>
      <c r="K88" s="102"/>
    </row>
    <row r="89" spans="1:11" ht="15.75" x14ac:dyDescent="0.2">
      <c r="A89" s="110"/>
      <c r="B89" s="146" t="s">
        <v>196</v>
      </c>
      <c r="C89" s="157" t="s">
        <v>103</v>
      </c>
      <c r="D89" s="158">
        <f>SUM(D86:D88)</f>
        <v>4725</v>
      </c>
      <c r="E89" s="158"/>
      <c r="F89" s="372"/>
      <c r="G89" s="158"/>
      <c r="H89" s="365">
        <f>SUM(H86:H88)</f>
        <v>-1207.3804</v>
      </c>
      <c r="I89" s="146"/>
      <c r="J89" s="365">
        <f>SUM(J86:J88)</f>
        <v>1328.4801199384283</v>
      </c>
      <c r="K89" s="102"/>
    </row>
    <row r="90" spans="1:11" x14ac:dyDescent="0.2">
      <c r="B90" s="138"/>
      <c r="C90" s="138"/>
      <c r="D90" s="138"/>
      <c r="E90" s="138"/>
      <c r="F90" s="138"/>
      <c r="G90" s="138"/>
      <c r="H90" s="138"/>
      <c r="I90" s="58"/>
      <c r="J90" s="58"/>
      <c r="K90" s="58"/>
    </row>
    <row r="91" spans="1:11" x14ac:dyDescent="0.2">
      <c r="B91" s="58"/>
      <c r="C91" s="58"/>
      <c r="D91" s="58"/>
      <c r="E91" s="58"/>
      <c r="F91" s="58"/>
      <c r="G91" s="58"/>
      <c r="H91" s="58"/>
      <c r="I91" s="58"/>
      <c r="J91" s="58"/>
      <c r="K91" s="58"/>
    </row>
    <row r="92" spans="1:11" ht="21" x14ac:dyDescent="0.2">
      <c r="B92" s="358" t="s">
        <v>197</v>
      </c>
      <c r="C92" s="102"/>
      <c r="D92" s="196" t="s">
        <v>173</v>
      </c>
      <c r="E92" s="197" t="s">
        <v>174</v>
      </c>
      <c r="F92" s="332" t="s">
        <v>175</v>
      </c>
      <c r="G92" s="197" t="s">
        <v>176</v>
      </c>
      <c r="H92" s="334" t="s">
        <v>177</v>
      </c>
      <c r="I92" s="200"/>
      <c r="J92" s="332" t="str">
        <f>J61</f>
        <v>Normalt år</v>
      </c>
      <c r="K92" s="102"/>
    </row>
    <row r="93" spans="1:11" x14ac:dyDescent="0.2">
      <c r="A93" s="102"/>
      <c r="B93" s="102"/>
      <c r="C93" s="102"/>
      <c r="D93" s="135" t="s">
        <v>185</v>
      </c>
      <c r="E93" s="136"/>
      <c r="F93" s="333"/>
      <c r="G93" s="136"/>
      <c r="H93" s="333"/>
      <c r="I93" s="102"/>
      <c r="J93" s="335"/>
      <c r="K93" s="102"/>
    </row>
    <row r="94" spans="1:11" ht="15" x14ac:dyDescent="0.2">
      <c r="A94" s="102"/>
      <c r="B94" s="373" t="s">
        <v>198</v>
      </c>
      <c r="C94" s="373"/>
      <c r="D94" s="158">
        <f>D86-D83+D88+Indtast!$D$59</f>
        <v>4725</v>
      </c>
      <c r="E94" s="158"/>
      <c r="F94" s="365">
        <f>F86-F83</f>
        <v>-4051.1304</v>
      </c>
      <c r="G94" s="158"/>
      <c r="H94" s="365">
        <f>H86-H83+H88+Indtast!$D$59</f>
        <v>673.86959999999999</v>
      </c>
      <c r="I94" s="158"/>
      <c r="J94" s="365">
        <f>J86-J83+J88+Indtast!$D$59</f>
        <v>3209.7301199384283</v>
      </c>
      <c r="K94" s="102"/>
    </row>
    <row r="95" spans="1:11" ht="15" x14ac:dyDescent="0.2">
      <c r="A95" s="102"/>
      <c r="B95" s="146" t="s">
        <v>199</v>
      </c>
      <c r="C95" s="146"/>
      <c r="D95" s="158">
        <f>Indtast!D56</f>
        <v>-1000</v>
      </c>
      <c r="E95" s="158"/>
      <c r="F95" s="365">
        <f>(Investering!C11+Indtast!D19)*-1</f>
        <v>-51144</v>
      </c>
      <c r="G95" s="158"/>
      <c r="H95" s="365">
        <f>SUM(D95:F95)</f>
        <v>-52144</v>
      </c>
      <c r="I95" s="158"/>
      <c r="J95" s="365">
        <f>Indtast!D56</f>
        <v>-1000</v>
      </c>
      <c r="K95" s="102"/>
    </row>
    <row r="96" spans="1:11" ht="15" x14ac:dyDescent="0.2">
      <c r="A96" s="102"/>
      <c r="B96" s="374" t="s">
        <v>200</v>
      </c>
      <c r="C96" s="374"/>
      <c r="D96" s="163">
        <f>Indtast!D57</f>
        <v>0</v>
      </c>
      <c r="E96" s="163"/>
      <c r="F96" s="366">
        <f>Indtast!D33</f>
        <v>71500</v>
      </c>
      <c r="G96" s="163"/>
      <c r="H96" s="366">
        <f>SUM(D96:F96)</f>
        <v>71500</v>
      </c>
      <c r="I96" s="163"/>
      <c r="J96" s="366">
        <f>'3  aars'!G40</f>
        <v>-1713.5652433261198</v>
      </c>
      <c r="K96" s="102"/>
    </row>
    <row r="97" spans="1:11" ht="15.75" x14ac:dyDescent="0.25">
      <c r="B97" s="157" t="s">
        <v>201</v>
      </c>
      <c r="C97" s="142"/>
      <c r="D97" s="166">
        <f>SUM(D94:D96)</f>
        <v>3725</v>
      </c>
      <c r="E97" s="166"/>
      <c r="F97" s="368">
        <f>SUM(F94:F96)</f>
        <v>16304.869599999998</v>
      </c>
      <c r="G97" s="166"/>
      <c r="H97" s="368">
        <f>SUM(H94:H96)</f>
        <v>20029.869599999998</v>
      </c>
      <c r="I97" s="166"/>
      <c r="J97" s="368">
        <f>SUM(J94:J96)</f>
        <v>496.16487661230849</v>
      </c>
      <c r="K97" s="122"/>
    </row>
    <row r="98" spans="1:11" ht="15" x14ac:dyDescent="0.2">
      <c r="A98" s="102"/>
      <c r="B98" s="144" t="s">
        <v>202</v>
      </c>
      <c r="C98" s="179" t="s">
        <v>203</v>
      </c>
      <c r="D98" s="163">
        <f>Indtast!D58</f>
        <v>-500</v>
      </c>
      <c r="E98" s="163"/>
      <c r="F98" s="366"/>
      <c r="G98" s="179" t="s">
        <v>204</v>
      </c>
      <c r="H98" s="366">
        <f>D98+H97</f>
        <v>19529.869599999998</v>
      </c>
      <c r="I98" s="163"/>
      <c r="J98" s="366"/>
      <c r="K98" s="102"/>
    </row>
    <row r="99" spans="1:11" ht="15" x14ac:dyDescent="0.2">
      <c r="B99" s="157" t="s">
        <v>205</v>
      </c>
      <c r="C99" s="158"/>
      <c r="D99" s="167" t="s">
        <v>206</v>
      </c>
      <c r="E99" s="167"/>
      <c r="F99" s="365"/>
      <c r="G99" s="158"/>
      <c r="H99" s="375" t="s">
        <v>207</v>
      </c>
      <c r="I99" s="158"/>
      <c r="J99" s="376"/>
      <c r="K99" s="102"/>
    </row>
    <row r="100" spans="1:11" ht="15" x14ac:dyDescent="0.2">
      <c r="A100" s="102"/>
      <c r="B100" s="146" t="s">
        <v>208</v>
      </c>
      <c r="C100" s="146"/>
      <c r="D100" s="377">
        <f>'3  aars'!E46</f>
        <v>0.1</v>
      </c>
      <c r="E100" s="158" t="s">
        <v>88</v>
      </c>
      <c r="F100" s="365"/>
      <c r="G100" s="158"/>
      <c r="H100" s="365">
        <f>'3  aars'!I46</f>
        <v>1017</v>
      </c>
      <c r="I100" s="158"/>
      <c r="J100" s="376"/>
      <c r="K100" s="102"/>
    </row>
    <row r="101" spans="1:11" ht="15" x14ac:dyDescent="0.2">
      <c r="A101" s="102"/>
      <c r="B101" s="146" t="s">
        <v>209</v>
      </c>
      <c r="C101" s="146"/>
      <c r="D101" s="378">
        <f>'3  aars'!E47</f>
        <v>200</v>
      </c>
      <c r="E101" s="146" t="s">
        <v>210</v>
      </c>
      <c r="F101" s="376"/>
      <c r="G101" s="146"/>
      <c r="H101" s="365">
        <f>'3  aars'!I47</f>
        <v>315</v>
      </c>
      <c r="I101" s="146"/>
      <c r="J101" s="376"/>
      <c r="K101" s="102"/>
    </row>
    <row r="102" spans="1:11" ht="15" x14ac:dyDescent="0.2">
      <c r="A102" s="102"/>
      <c r="B102" s="146" t="s">
        <v>211</v>
      </c>
      <c r="C102" s="146"/>
      <c r="D102" s="379">
        <f>'3  aars'!E48</f>
        <v>0.05</v>
      </c>
      <c r="E102" s="146"/>
      <c r="F102" s="376"/>
      <c r="G102" s="146"/>
      <c r="H102" s="365">
        <f>'3  aars'!I48</f>
        <v>396</v>
      </c>
      <c r="I102" s="146"/>
      <c r="J102" s="376"/>
      <c r="K102" s="102"/>
    </row>
    <row r="103" spans="1:11" ht="15" x14ac:dyDescent="0.2">
      <c r="A103" s="102"/>
      <c r="B103" s="146" t="s">
        <v>212</v>
      </c>
      <c r="C103" s="146"/>
      <c r="D103" s="146">
        <f>'3  aars'!E49</f>
        <v>5</v>
      </c>
      <c r="E103" s="146" t="s">
        <v>213</v>
      </c>
      <c r="F103" s="376"/>
      <c r="G103" s="146"/>
      <c r="H103" s="365">
        <f>'3  aars'!I49</f>
        <v>360</v>
      </c>
      <c r="I103" s="146"/>
      <c r="J103" s="376"/>
      <c r="K103" s="102"/>
    </row>
    <row r="104" spans="1:11" x14ac:dyDescent="0.2">
      <c r="B104" s="58"/>
      <c r="C104" s="58"/>
      <c r="D104" s="58"/>
      <c r="E104" s="58"/>
      <c r="F104" s="58"/>
      <c r="G104" s="58"/>
      <c r="H104" s="58"/>
      <c r="I104" s="58"/>
      <c r="J104" s="58"/>
      <c r="K104" s="58"/>
    </row>
  </sheetData>
  <mergeCells count="1">
    <mergeCell ref="B1:I1"/>
  </mergeCells>
  <phoneticPr fontId="1" type="noConversion"/>
  <printOptions headings="1" gridLines="1"/>
  <pageMargins left="0.23622047244094491" right="0.27559055118110237" top="0.43307086614173229" bottom="0.70866141732283472" header="0.51181102362204722" footer="0.51181102362204722"/>
  <pageSetup paperSize="9" scale="93" orientation="portrait" r:id="rId1"/>
  <headerFooter alignWithMargins="0"/>
  <rowBreaks count="2" manualBreakCount="2">
    <brk id="33" max="16383" man="1"/>
    <brk id="58"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U51"/>
  <sheetViews>
    <sheetView showGridLines="0" showZeros="0" zoomScaleNormal="100" workbookViewId="0">
      <selection activeCell="N20" sqref="N20"/>
    </sheetView>
  </sheetViews>
  <sheetFormatPr defaultRowHeight="15" x14ac:dyDescent="0.25"/>
  <cols>
    <col min="1" max="1" width="2" style="209" customWidth="1"/>
    <col min="2" max="2" width="5.42578125" style="202" customWidth="1"/>
    <col min="3" max="3" width="13" style="202" customWidth="1"/>
    <col min="4" max="4" width="16.140625" style="202" customWidth="1"/>
    <col min="5" max="5" width="11" style="202" customWidth="1"/>
    <col min="6" max="6" width="4.140625" style="202" customWidth="1"/>
    <col min="7" max="7" width="11" style="202" customWidth="1"/>
    <col min="8" max="8" width="5.140625" style="202" customWidth="1"/>
    <col min="9" max="9" width="11" style="202" customWidth="1"/>
    <col min="10" max="10" width="11.7109375" style="202" hidden="1" customWidth="1"/>
    <col min="11" max="11" width="6" style="201" customWidth="1"/>
    <col min="12" max="16384" width="9.140625" style="202"/>
  </cols>
  <sheetData>
    <row r="1" spans="1:255" ht="23.25" x14ac:dyDescent="0.35">
      <c r="B1" s="417" t="s">
        <v>214</v>
      </c>
      <c r="C1" s="417"/>
      <c r="D1" s="417"/>
      <c r="E1" s="417"/>
      <c r="F1" s="417"/>
      <c r="G1" s="417"/>
      <c r="H1" s="417"/>
      <c r="I1" s="417"/>
      <c r="J1" s="417"/>
      <c r="K1" s="255"/>
    </row>
    <row r="2" spans="1:255" x14ac:dyDescent="0.25">
      <c r="B2" s="222"/>
      <c r="C2" s="222"/>
      <c r="D2" s="222"/>
      <c r="E2" s="222"/>
      <c r="F2" s="222"/>
      <c r="G2" s="222"/>
      <c r="H2" s="222"/>
      <c r="I2" s="222"/>
      <c r="J2" s="222"/>
      <c r="K2" s="209"/>
    </row>
    <row r="3" spans="1:255" ht="18.75" x14ac:dyDescent="0.25">
      <c r="A3" s="205"/>
      <c r="B3" s="381" t="s">
        <v>172</v>
      </c>
      <c r="C3" s="380"/>
      <c r="D3" s="177"/>
      <c r="E3" s="176">
        <f>Indtast!D10</f>
        <v>2023</v>
      </c>
      <c r="F3" s="176"/>
      <c r="G3" s="317">
        <f>E3+1</f>
        <v>2024</v>
      </c>
      <c r="H3" s="176"/>
      <c r="I3" s="317">
        <f>G3+1</f>
        <v>2025</v>
      </c>
      <c r="J3" s="329">
        <f>I3+1</f>
        <v>2026</v>
      </c>
      <c r="K3" s="205"/>
      <c r="L3" s="203"/>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4"/>
      <c r="BT3" s="204"/>
      <c r="BU3" s="204"/>
      <c r="BV3" s="204"/>
      <c r="BW3" s="204"/>
      <c r="BX3" s="204"/>
      <c r="BY3" s="204"/>
      <c r="BZ3" s="204"/>
      <c r="CA3" s="204"/>
      <c r="CB3" s="204"/>
      <c r="CC3" s="204"/>
      <c r="CD3" s="204"/>
      <c r="CE3" s="204"/>
      <c r="CF3" s="204"/>
      <c r="CG3" s="204"/>
      <c r="CH3" s="204"/>
      <c r="CI3" s="204"/>
      <c r="CJ3" s="204"/>
      <c r="CK3" s="204"/>
      <c r="CL3" s="204"/>
      <c r="CM3" s="204"/>
      <c r="CN3" s="204"/>
      <c r="CO3" s="204"/>
      <c r="CP3" s="204"/>
      <c r="CQ3" s="204"/>
      <c r="CR3" s="204"/>
      <c r="CS3" s="204"/>
      <c r="CT3" s="204"/>
      <c r="CU3" s="204"/>
      <c r="CV3" s="204"/>
      <c r="CW3" s="204"/>
      <c r="CX3" s="204"/>
      <c r="CY3" s="204"/>
      <c r="CZ3" s="204"/>
      <c r="DA3" s="204"/>
      <c r="DB3" s="204"/>
      <c r="DC3" s="204"/>
      <c r="DD3" s="204"/>
      <c r="DE3" s="204"/>
      <c r="DF3" s="204"/>
      <c r="DG3" s="204"/>
      <c r="DH3" s="204"/>
      <c r="DI3" s="204"/>
      <c r="DJ3" s="204"/>
      <c r="DK3" s="204"/>
      <c r="DL3" s="204"/>
      <c r="DM3" s="204"/>
      <c r="DN3" s="204"/>
      <c r="DO3" s="204"/>
      <c r="DP3" s="204"/>
      <c r="DQ3" s="204"/>
      <c r="DR3" s="204"/>
      <c r="DS3" s="204"/>
      <c r="DT3" s="204"/>
      <c r="DU3" s="204"/>
      <c r="DV3" s="204"/>
      <c r="DW3" s="204"/>
      <c r="DX3" s="204"/>
      <c r="DY3" s="204"/>
      <c r="DZ3" s="204"/>
      <c r="EA3" s="204"/>
      <c r="EB3" s="204"/>
      <c r="EC3" s="204"/>
      <c r="ED3" s="204"/>
      <c r="EE3" s="204"/>
      <c r="EF3" s="204"/>
      <c r="EG3" s="204"/>
      <c r="EH3" s="204"/>
      <c r="EI3" s="204"/>
      <c r="EJ3" s="204"/>
      <c r="EK3" s="204"/>
      <c r="EL3" s="204"/>
      <c r="EM3" s="204"/>
      <c r="EN3" s="204"/>
      <c r="EO3" s="204"/>
      <c r="EP3" s="204"/>
      <c r="EQ3" s="204"/>
      <c r="ER3" s="204"/>
      <c r="ES3" s="204"/>
      <c r="ET3" s="204"/>
      <c r="EU3" s="204"/>
      <c r="EV3" s="204"/>
      <c r="EW3" s="204"/>
      <c r="EX3" s="204"/>
      <c r="EY3" s="204"/>
      <c r="EZ3" s="204"/>
      <c r="FA3" s="204"/>
      <c r="FB3" s="204"/>
      <c r="FC3" s="204"/>
      <c r="FD3" s="204"/>
      <c r="FE3" s="204"/>
      <c r="FF3" s="204"/>
      <c r="FG3" s="204"/>
      <c r="FH3" s="204"/>
      <c r="FI3" s="204"/>
      <c r="FJ3" s="204"/>
      <c r="FK3" s="204"/>
      <c r="FL3" s="204"/>
      <c r="FM3" s="204"/>
      <c r="FN3" s="204"/>
      <c r="FO3" s="204"/>
      <c r="FP3" s="204"/>
      <c r="FQ3" s="204"/>
      <c r="FR3" s="204"/>
      <c r="FS3" s="204"/>
      <c r="FT3" s="204"/>
      <c r="FU3" s="204"/>
      <c r="FV3" s="204"/>
      <c r="FW3" s="204"/>
      <c r="FX3" s="204"/>
      <c r="FY3" s="204"/>
      <c r="FZ3" s="204"/>
      <c r="GA3" s="204"/>
      <c r="GB3" s="204"/>
      <c r="GC3" s="204"/>
      <c r="GD3" s="204"/>
      <c r="GE3" s="204"/>
      <c r="GF3" s="204"/>
      <c r="GG3" s="204"/>
      <c r="GH3" s="204"/>
      <c r="GI3" s="204"/>
      <c r="GJ3" s="204"/>
      <c r="GK3" s="204"/>
      <c r="GL3" s="204"/>
      <c r="GM3" s="204"/>
      <c r="GN3" s="204"/>
      <c r="GO3" s="204"/>
      <c r="GP3" s="204"/>
      <c r="GQ3" s="204"/>
      <c r="GR3" s="204"/>
      <c r="GS3" s="204"/>
      <c r="GT3" s="204"/>
      <c r="GU3" s="204"/>
      <c r="GV3" s="204"/>
      <c r="GW3" s="204"/>
      <c r="GX3" s="204"/>
      <c r="GY3" s="204"/>
      <c r="GZ3" s="204"/>
      <c r="HA3" s="204"/>
      <c r="HB3" s="204"/>
      <c r="HC3" s="204"/>
      <c r="HD3" s="204"/>
      <c r="HE3" s="204"/>
      <c r="HF3" s="204"/>
      <c r="HG3" s="204"/>
      <c r="HH3" s="204"/>
      <c r="HI3" s="204"/>
      <c r="HJ3" s="204"/>
      <c r="HK3" s="204"/>
      <c r="HL3" s="204"/>
      <c r="HM3" s="204"/>
      <c r="HN3" s="204"/>
      <c r="HO3" s="204"/>
      <c r="HP3" s="204"/>
      <c r="HQ3" s="204"/>
      <c r="HR3" s="204"/>
      <c r="HS3" s="204"/>
      <c r="HT3" s="204"/>
      <c r="HU3" s="204"/>
      <c r="HV3" s="204"/>
      <c r="HW3" s="204"/>
      <c r="HX3" s="204"/>
      <c r="HY3" s="204"/>
      <c r="HZ3" s="204"/>
      <c r="IA3" s="204"/>
      <c r="IB3" s="204"/>
      <c r="IC3" s="204"/>
      <c r="ID3" s="204"/>
      <c r="IE3" s="204"/>
      <c r="IF3" s="204"/>
      <c r="IG3" s="204"/>
      <c r="IH3" s="204"/>
      <c r="II3" s="204"/>
      <c r="IJ3" s="204"/>
      <c r="IK3" s="204"/>
      <c r="IL3" s="204"/>
      <c r="IM3" s="204"/>
      <c r="IN3" s="204"/>
      <c r="IO3" s="204"/>
      <c r="IP3" s="204"/>
      <c r="IQ3" s="204"/>
      <c r="IR3" s="204"/>
      <c r="IS3" s="204"/>
      <c r="IT3" s="204"/>
      <c r="IU3" s="204"/>
    </row>
    <row r="4" spans="1:255" x14ac:dyDescent="0.25">
      <c r="A4" s="205"/>
      <c r="B4" s="205"/>
      <c r="C4" s="205" t="s">
        <v>179</v>
      </c>
      <c r="D4" s="205"/>
      <c r="E4" s="205">
        <f>Resultater!H62</f>
        <v>900</v>
      </c>
      <c r="F4" s="205"/>
      <c r="G4" s="318">
        <f>E4</f>
        <v>900</v>
      </c>
      <c r="H4" s="205"/>
      <c r="I4" s="318">
        <f>G4</f>
        <v>900</v>
      </c>
      <c r="J4" s="318">
        <f>I4</f>
        <v>900</v>
      </c>
      <c r="K4" s="205"/>
      <c r="L4" s="203"/>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c r="CV4" s="204"/>
      <c r="CW4" s="204"/>
      <c r="CX4" s="204"/>
      <c r="CY4" s="204"/>
      <c r="CZ4" s="204"/>
      <c r="DA4" s="204"/>
      <c r="DB4" s="204"/>
      <c r="DC4" s="204"/>
      <c r="DD4" s="204"/>
      <c r="DE4" s="204"/>
      <c r="DF4" s="204"/>
      <c r="DG4" s="204"/>
      <c r="DH4" s="204"/>
      <c r="DI4" s="204"/>
      <c r="DJ4" s="204"/>
      <c r="DK4" s="204"/>
      <c r="DL4" s="204"/>
      <c r="DM4" s="204"/>
      <c r="DN4" s="204"/>
      <c r="DO4" s="204"/>
      <c r="DP4" s="204"/>
      <c r="DQ4" s="204"/>
      <c r="DR4" s="204"/>
      <c r="DS4" s="204"/>
      <c r="DT4" s="204"/>
      <c r="DU4" s="204"/>
      <c r="DV4" s="204"/>
      <c r="DW4" s="204"/>
      <c r="DX4" s="204"/>
      <c r="DY4" s="204"/>
      <c r="DZ4" s="204"/>
      <c r="EA4" s="204"/>
      <c r="EB4" s="204"/>
      <c r="EC4" s="204"/>
      <c r="ED4" s="204"/>
      <c r="EE4" s="204"/>
      <c r="EF4" s="204"/>
      <c r="EG4" s="204"/>
      <c r="EH4" s="204"/>
      <c r="EI4" s="204"/>
      <c r="EJ4" s="204"/>
      <c r="EK4" s="204"/>
      <c r="EL4" s="204"/>
      <c r="EM4" s="204"/>
      <c r="EN4" s="204"/>
      <c r="EO4" s="204"/>
      <c r="EP4" s="204"/>
      <c r="EQ4" s="204"/>
      <c r="ER4" s="204"/>
      <c r="ES4" s="204"/>
      <c r="ET4" s="204"/>
      <c r="EU4" s="204"/>
      <c r="EV4" s="204"/>
      <c r="EW4" s="204"/>
      <c r="EX4" s="204"/>
      <c r="EY4" s="204"/>
      <c r="EZ4" s="204"/>
      <c r="FA4" s="204"/>
      <c r="FB4" s="204"/>
      <c r="FC4" s="204"/>
      <c r="FD4" s="204"/>
      <c r="FE4" s="204"/>
      <c r="FF4" s="204"/>
      <c r="FG4" s="204"/>
      <c r="FH4" s="204"/>
      <c r="FI4" s="204"/>
      <c r="FJ4" s="204"/>
      <c r="FK4" s="204"/>
      <c r="FL4" s="204"/>
      <c r="FM4" s="204"/>
      <c r="FN4" s="204"/>
      <c r="FO4" s="204"/>
      <c r="FP4" s="204"/>
      <c r="FQ4" s="204"/>
      <c r="FR4" s="204"/>
      <c r="FS4" s="204"/>
      <c r="FT4" s="204"/>
      <c r="FU4" s="204"/>
      <c r="FV4" s="204"/>
      <c r="FW4" s="204"/>
      <c r="FX4" s="204"/>
      <c r="FY4" s="204"/>
      <c r="FZ4" s="204"/>
      <c r="GA4" s="204"/>
      <c r="GB4" s="204"/>
      <c r="GC4" s="204"/>
      <c r="GD4" s="204"/>
      <c r="GE4" s="204"/>
      <c r="GF4" s="204"/>
      <c r="GG4" s="204"/>
      <c r="GH4" s="204"/>
      <c r="GI4" s="204"/>
      <c r="GJ4" s="204"/>
      <c r="GK4" s="204"/>
      <c r="GL4" s="204"/>
      <c r="GM4" s="204"/>
      <c r="GN4" s="204"/>
      <c r="GO4" s="204"/>
      <c r="GP4" s="204"/>
      <c r="GQ4" s="204"/>
      <c r="GR4" s="204"/>
      <c r="GS4" s="204"/>
      <c r="GT4" s="204"/>
      <c r="GU4" s="204"/>
      <c r="GV4" s="204"/>
      <c r="GW4" s="204"/>
      <c r="GX4" s="204"/>
      <c r="GY4" s="204"/>
      <c r="GZ4" s="204"/>
      <c r="HA4" s="204"/>
      <c r="HB4" s="204"/>
      <c r="HC4" s="204"/>
      <c r="HD4" s="204"/>
      <c r="HE4" s="204"/>
      <c r="HF4" s="204"/>
      <c r="HG4" s="204"/>
      <c r="HH4" s="204"/>
      <c r="HI4" s="204"/>
      <c r="HJ4" s="204"/>
      <c r="HK4" s="204"/>
      <c r="HL4" s="204"/>
      <c r="HM4" s="204"/>
      <c r="HN4" s="204"/>
      <c r="HO4" s="204"/>
      <c r="HP4" s="204"/>
      <c r="HQ4" s="204"/>
      <c r="HR4" s="204"/>
      <c r="HS4" s="204"/>
      <c r="HT4" s="204"/>
      <c r="HU4" s="204"/>
      <c r="HV4" s="204"/>
      <c r="HW4" s="204"/>
      <c r="HX4" s="204"/>
      <c r="HY4" s="204"/>
      <c r="HZ4" s="204"/>
      <c r="IA4" s="204"/>
      <c r="IB4" s="204"/>
      <c r="IC4" s="204"/>
      <c r="ID4" s="204"/>
      <c r="IE4" s="204"/>
      <c r="IF4" s="204"/>
      <c r="IG4" s="204"/>
      <c r="IH4" s="204"/>
      <c r="II4" s="204"/>
      <c r="IJ4" s="204"/>
      <c r="IK4" s="204"/>
      <c r="IL4" s="204"/>
      <c r="IM4" s="204"/>
      <c r="IN4" s="204"/>
      <c r="IO4" s="204"/>
      <c r="IP4" s="204"/>
      <c r="IQ4" s="204"/>
      <c r="IR4" s="204"/>
      <c r="IS4" s="204"/>
      <c r="IT4" s="204"/>
      <c r="IU4" s="204"/>
    </row>
    <row r="5" spans="1:255" x14ac:dyDescent="0.25">
      <c r="A5" s="205"/>
      <c r="B5" s="205"/>
      <c r="C5" s="206" t="s">
        <v>180</v>
      </c>
      <c r="D5" s="206"/>
      <c r="E5" s="207">
        <f>Resultater!H63</f>
        <v>11249.993999999999</v>
      </c>
      <c r="F5" s="207"/>
      <c r="G5" s="319">
        <f>IF(G4&gt;0,(Indtast!C65*Indtast!D39+Indtast!G69*Indtast!D14)/G4,0)</f>
        <v>12375</v>
      </c>
      <c r="H5" s="207"/>
      <c r="I5" s="319">
        <f>IF(I4&gt;0,+Indtast!C65,0)</f>
        <v>13500</v>
      </c>
      <c r="J5" s="319">
        <f>Indtast!C65</f>
        <v>13500</v>
      </c>
      <c r="K5" s="205"/>
      <c r="L5" s="203"/>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c r="DJ5" s="204"/>
      <c r="DK5" s="204"/>
      <c r="DL5" s="204"/>
      <c r="DM5" s="204"/>
      <c r="DN5" s="204"/>
      <c r="DO5" s="204"/>
      <c r="DP5" s="204"/>
      <c r="DQ5" s="204"/>
      <c r="DR5" s="204"/>
      <c r="DS5" s="204"/>
      <c r="DT5" s="204"/>
      <c r="DU5" s="204"/>
      <c r="DV5" s="204"/>
      <c r="DW5" s="204"/>
      <c r="DX5" s="204"/>
      <c r="DY5" s="204"/>
      <c r="DZ5" s="204"/>
      <c r="EA5" s="204"/>
      <c r="EB5" s="204"/>
      <c r="EC5" s="204"/>
      <c r="ED5" s="204"/>
      <c r="EE5" s="204"/>
      <c r="EF5" s="204"/>
      <c r="EG5" s="204"/>
      <c r="EH5" s="204"/>
      <c r="EI5" s="204"/>
      <c r="EJ5" s="204"/>
      <c r="EK5" s="204"/>
      <c r="EL5" s="204"/>
      <c r="EM5" s="204"/>
      <c r="EN5" s="204"/>
      <c r="EO5" s="204"/>
      <c r="EP5" s="204"/>
      <c r="EQ5" s="204"/>
      <c r="ER5" s="204"/>
      <c r="ES5" s="204"/>
      <c r="ET5" s="204"/>
      <c r="EU5" s="204"/>
      <c r="EV5" s="204"/>
      <c r="EW5" s="204"/>
      <c r="EX5" s="204"/>
      <c r="EY5" s="204"/>
      <c r="EZ5" s="204"/>
      <c r="FA5" s="204"/>
      <c r="FB5" s="204"/>
      <c r="FC5" s="204"/>
      <c r="FD5" s="204"/>
      <c r="FE5" s="204"/>
      <c r="FF5" s="204"/>
      <c r="FG5" s="204"/>
      <c r="FH5" s="204"/>
      <c r="FI5" s="204"/>
      <c r="FJ5" s="204"/>
      <c r="FK5" s="204"/>
      <c r="FL5" s="204"/>
      <c r="FM5" s="204"/>
      <c r="FN5" s="204"/>
      <c r="FO5" s="204"/>
      <c r="FP5" s="204"/>
      <c r="FQ5" s="204"/>
      <c r="FR5" s="204"/>
      <c r="FS5" s="204"/>
      <c r="FT5" s="204"/>
      <c r="FU5" s="204"/>
      <c r="FV5" s="204"/>
      <c r="FW5" s="204"/>
      <c r="FX5" s="204"/>
      <c r="FY5" s="204"/>
      <c r="FZ5" s="204"/>
      <c r="GA5" s="204"/>
      <c r="GB5" s="204"/>
      <c r="GC5" s="204"/>
      <c r="GD5" s="204"/>
      <c r="GE5" s="204"/>
      <c r="GF5" s="204"/>
      <c r="GG5" s="204"/>
      <c r="GH5" s="204"/>
      <c r="GI5" s="204"/>
      <c r="GJ5" s="204"/>
      <c r="GK5" s="204"/>
      <c r="GL5" s="204"/>
      <c r="GM5" s="204"/>
      <c r="GN5" s="204"/>
      <c r="GO5" s="204"/>
      <c r="GP5" s="204"/>
      <c r="GQ5" s="204"/>
      <c r="GR5" s="204"/>
      <c r="GS5" s="204"/>
      <c r="GT5" s="204"/>
      <c r="GU5" s="204"/>
      <c r="GV5" s="204"/>
      <c r="GW5" s="204"/>
      <c r="GX5" s="204"/>
      <c r="GY5" s="204"/>
      <c r="GZ5" s="204"/>
      <c r="HA5" s="204"/>
      <c r="HB5" s="204"/>
      <c r="HC5" s="204"/>
      <c r="HD5" s="204"/>
      <c r="HE5" s="204"/>
      <c r="HF5" s="204"/>
      <c r="HG5" s="204"/>
      <c r="HH5" s="204"/>
      <c r="HI5" s="204"/>
      <c r="HJ5" s="204"/>
      <c r="HK5" s="204"/>
      <c r="HL5" s="204"/>
      <c r="HM5" s="204"/>
      <c r="HN5" s="204"/>
      <c r="HO5" s="204"/>
      <c r="HP5" s="204"/>
      <c r="HQ5" s="204"/>
      <c r="HR5" s="204"/>
      <c r="HS5" s="204"/>
      <c r="HT5" s="204"/>
      <c r="HU5" s="204"/>
      <c r="HV5" s="204"/>
      <c r="HW5" s="204"/>
      <c r="HX5" s="204"/>
      <c r="HY5" s="204"/>
      <c r="HZ5" s="204"/>
      <c r="IA5" s="204"/>
      <c r="IB5" s="204"/>
      <c r="IC5" s="204"/>
      <c r="ID5" s="204"/>
      <c r="IE5" s="204"/>
      <c r="IF5" s="204"/>
      <c r="IG5" s="204"/>
      <c r="IH5" s="204"/>
      <c r="II5" s="204"/>
      <c r="IJ5" s="204"/>
      <c r="IK5" s="204"/>
      <c r="IL5" s="204"/>
      <c r="IM5" s="204"/>
      <c r="IN5" s="204"/>
      <c r="IO5" s="204"/>
      <c r="IP5" s="204"/>
      <c r="IQ5" s="204"/>
      <c r="IR5" s="204"/>
      <c r="IS5" s="204"/>
      <c r="IT5" s="204"/>
      <c r="IU5" s="204"/>
    </row>
    <row r="6" spans="1:255" x14ac:dyDescent="0.25">
      <c r="A6" s="205"/>
      <c r="B6" s="205"/>
      <c r="C6" s="205" t="s">
        <v>215</v>
      </c>
      <c r="D6" s="205"/>
      <c r="E6" s="208">
        <f>Resultater!H64</f>
        <v>450</v>
      </c>
      <c r="F6" s="208"/>
      <c r="G6" s="320">
        <f>E6</f>
        <v>450</v>
      </c>
      <c r="H6" s="208"/>
      <c r="I6" s="320">
        <f>E6</f>
        <v>450</v>
      </c>
      <c r="J6" s="320">
        <f>E6</f>
        <v>450</v>
      </c>
      <c r="K6" s="205"/>
      <c r="L6" s="203"/>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4"/>
      <c r="CL6" s="204"/>
      <c r="CM6" s="204"/>
      <c r="CN6" s="204"/>
      <c r="CO6" s="204"/>
      <c r="CP6" s="204"/>
      <c r="CQ6" s="204"/>
      <c r="CR6" s="204"/>
      <c r="CS6" s="204"/>
      <c r="CT6" s="204"/>
      <c r="CU6" s="204"/>
      <c r="CV6" s="204"/>
      <c r="CW6" s="204"/>
      <c r="CX6" s="204"/>
      <c r="CY6" s="204"/>
      <c r="CZ6" s="204"/>
      <c r="DA6" s="204"/>
      <c r="DB6" s="204"/>
      <c r="DC6" s="204"/>
      <c r="DD6" s="204"/>
      <c r="DE6" s="204"/>
      <c r="DF6" s="204"/>
      <c r="DG6" s="204"/>
      <c r="DH6" s="204"/>
      <c r="DI6" s="204"/>
      <c r="DJ6" s="204"/>
      <c r="DK6" s="204"/>
      <c r="DL6" s="204"/>
      <c r="DM6" s="204"/>
      <c r="DN6" s="204"/>
      <c r="DO6" s="204"/>
      <c r="DP6" s="204"/>
      <c r="DQ6" s="204"/>
      <c r="DR6" s="204"/>
      <c r="DS6" s="204"/>
      <c r="DT6" s="204"/>
      <c r="DU6" s="204"/>
      <c r="DV6" s="204"/>
      <c r="DW6" s="204"/>
      <c r="DX6" s="204"/>
      <c r="DY6" s="204"/>
      <c r="DZ6" s="204"/>
      <c r="EA6" s="204"/>
      <c r="EB6" s="204"/>
      <c r="EC6" s="204"/>
      <c r="ED6" s="204"/>
      <c r="EE6" s="204"/>
      <c r="EF6" s="204"/>
      <c r="EG6" s="204"/>
      <c r="EH6" s="204"/>
      <c r="EI6" s="204"/>
      <c r="EJ6" s="204"/>
      <c r="EK6" s="204"/>
      <c r="EL6" s="204"/>
      <c r="EM6" s="204"/>
      <c r="EN6" s="204"/>
      <c r="EO6" s="204"/>
      <c r="EP6" s="204"/>
      <c r="EQ6" s="204"/>
      <c r="ER6" s="204"/>
      <c r="ES6" s="204"/>
      <c r="ET6" s="204"/>
      <c r="EU6" s="204"/>
      <c r="EV6" s="204"/>
      <c r="EW6" s="204"/>
      <c r="EX6" s="204"/>
      <c r="EY6" s="204"/>
      <c r="EZ6" s="204"/>
      <c r="FA6" s="204"/>
      <c r="FB6" s="204"/>
      <c r="FC6" s="204"/>
      <c r="FD6" s="204"/>
      <c r="FE6" s="204"/>
      <c r="FF6" s="204"/>
      <c r="FG6" s="204"/>
      <c r="FH6" s="204"/>
      <c r="FI6" s="204"/>
      <c r="FJ6" s="204"/>
      <c r="FK6" s="204"/>
      <c r="FL6" s="204"/>
      <c r="FM6" s="204"/>
      <c r="FN6" s="204"/>
      <c r="FO6" s="204"/>
      <c r="FP6" s="204"/>
      <c r="FQ6" s="204"/>
      <c r="FR6" s="204"/>
      <c r="FS6" s="204"/>
      <c r="FT6" s="204"/>
      <c r="FU6" s="204"/>
      <c r="FV6" s="204"/>
      <c r="FW6" s="204"/>
      <c r="FX6" s="204"/>
      <c r="FY6" s="204"/>
      <c r="FZ6" s="204"/>
      <c r="GA6" s="204"/>
      <c r="GB6" s="204"/>
      <c r="GC6" s="204"/>
      <c r="GD6" s="204"/>
      <c r="GE6" s="204"/>
      <c r="GF6" s="204"/>
      <c r="GG6" s="204"/>
      <c r="GH6" s="204"/>
      <c r="GI6" s="204"/>
      <c r="GJ6" s="204"/>
      <c r="GK6" s="204"/>
      <c r="GL6" s="204"/>
      <c r="GM6" s="204"/>
      <c r="GN6" s="204"/>
      <c r="GO6" s="204"/>
      <c r="GP6" s="204"/>
      <c r="GQ6" s="204"/>
      <c r="GR6" s="204"/>
      <c r="GS6" s="204"/>
      <c r="GT6" s="204"/>
      <c r="GU6" s="204"/>
      <c r="GV6" s="204"/>
      <c r="GW6" s="204"/>
      <c r="GX6" s="204"/>
      <c r="GY6" s="204"/>
      <c r="GZ6" s="204"/>
      <c r="HA6" s="204"/>
      <c r="HB6" s="204"/>
      <c r="HC6" s="204"/>
      <c r="HD6" s="204"/>
      <c r="HE6" s="204"/>
      <c r="HF6" s="204"/>
      <c r="HG6" s="204"/>
      <c r="HH6" s="204"/>
      <c r="HI6" s="204"/>
      <c r="HJ6" s="204"/>
      <c r="HK6" s="204"/>
      <c r="HL6" s="204"/>
      <c r="HM6" s="204"/>
      <c r="HN6" s="204"/>
      <c r="HO6" s="204"/>
      <c r="HP6" s="204"/>
      <c r="HQ6" s="204"/>
      <c r="HR6" s="204"/>
      <c r="HS6" s="204"/>
      <c r="HT6" s="204"/>
      <c r="HU6" s="204"/>
      <c r="HV6" s="204"/>
      <c r="HW6" s="204"/>
      <c r="HX6" s="204"/>
      <c r="HY6" s="204"/>
      <c r="HZ6" s="204"/>
      <c r="IA6" s="204"/>
      <c r="IB6" s="204"/>
      <c r="IC6" s="204"/>
      <c r="ID6" s="204"/>
      <c r="IE6" s="204"/>
      <c r="IF6" s="204"/>
      <c r="IG6" s="204"/>
      <c r="IH6" s="204"/>
      <c r="II6" s="204"/>
      <c r="IJ6" s="204"/>
      <c r="IK6" s="204"/>
      <c r="IL6" s="204"/>
      <c r="IM6" s="204"/>
      <c r="IN6" s="204"/>
      <c r="IO6" s="204"/>
      <c r="IP6" s="204"/>
      <c r="IQ6" s="204"/>
      <c r="IR6" s="204"/>
      <c r="IS6" s="204"/>
      <c r="IT6" s="204"/>
      <c r="IU6" s="204"/>
    </row>
    <row r="7" spans="1:255" x14ac:dyDescent="0.25">
      <c r="A7" s="205"/>
      <c r="B7" s="205"/>
      <c r="C7" s="206" t="s">
        <v>182</v>
      </c>
      <c r="D7" s="206"/>
      <c r="E7" s="207">
        <f>IF(E6&gt;0,+Indtast!G71,0)</f>
        <v>2250</v>
      </c>
      <c r="F7" s="206"/>
      <c r="G7" s="319">
        <f>IF(G6&gt;0,+Indtast!C71,0)</f>
        <v>2500</v>
      </c>
      <c r="H7" s="206"/>
      <c r="I7" s="328">
        <f>IF(I6&gt;0,+Indtast!$C71,0)</f>
        <v>2500</v>
      </c>
      <c r="J7" s="328">
        <f>Indtast!$C71</f>
        <v>2500</v>
      </c>
      <c r="K7" s="205"/>
      <c r="L7" s="203"/>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c r="FK7" s="204"/>
      <c r="FL7" s="204"/>
      <c r="FM7" s="204"/>
      <c r="FN7" s="204"/>
      <c r="FO7" s="204"/>
      <c r="FP7" s="204"/>
      <c r="FQ7" s="204"/>
      <c r="FR7" s="204"/>
      <c r="FS7" s="204"/>
      <c r="FT7" s="204"/>
      <c r="FU7" s="204"/>
      <c r="FV7" s="204"/>
      <c r="FW7" s="204"/>
      <c r="FX7" s="204"/>
      <c r="FY7" s="204"/>
      <c r="FZ7" s="204"/>
      <c r="GA7" s="204"/>
      <c r="GB7" s="204"/>
      <c r="GC7" s="204"/>
      <c r="GD7" s="204"/>
      <c r="GE7" s="204"/>
      <c r="GF7" s="204"/>
      <c r="GG7" s="204"/>
      <c r="GH7" s="204"/>
      <c r="GI7" s="204"/>
      <c r="GJ7" s="204"/>
      <c r="GK7" s="204"/>
      <c r="GL7" s="204"/>
      <c r="GM7" s="204"/>
      <c r="GN7" s="204"/>
      <c r="GO7" s="204"/>
      <c r="GP7" s="204"/>
      <c r="GQ7" s="204"/>
      <c r="GR7" s="204"/>
      <c r="GS7" s="204"/>
      <c r="GT7" s="204"/>
      <c r="GU7" s="204"/>
      <c r="GV7" s="204"/>
      <c r="GW7" s="204"/>
      <c r="GX7" s="204"/>
      <c r="GY7" s="204"/>
      <c r="GZ7" s="204"/>
      <c r="HA7" s="204"/>
      <c r="HB7" s="204"/>
      <c r="HC7" s="204"/>
      <c r="HD7" s="204"/>
      <c r="HE7" s="204"/>
      <c r="HF7" s="204"/>
      <c r="HG7" s="204"/>
      <c r="HH7" s="204"/>
      <c r="HI7" s="204"/>
      <c r="HJ7" s="204"/>
      <c r="HK7" s="204"/>
      <c r="HL7" s="204"/>
      <c r="HM7" s="204"/>
      <c r="HN7" s="204"/>
      <c r="HO7" s="204"/>
      <c r="HP7" s="204"/>
      <c r="HQ7" s="204"/>
      <c r="HR7" s="204"/>
      <c r="HS7" s="204"/>
      <c r="HT7" s="204"/>
      <c r="HU7" s="204"/>
      <c r="HV7" s="204"/>
      <c r="HW7" s="204"/>
      <c r="HX7" s="204"/>
      <c r="HY7" s="204"/>
      <c r="HZ7" s="204"/>
      <c r="IA7" s="204"/>
      <c r="IB7" s="204"/>
      <c r="IC7" s="204"/>
      <c r="ID7" s="204"/>
      <c r="IE7" s="204"/>
      <c r="IF7" s="204"/>
      <c r="IG7" s="204"/>
      <c r="IH7" s="204"/>
      <c r="II7" s="204"/>
      <c r="IJ7" s="204"/>
      <c r="IK7" s="204"/>
      <c r="IL7" s="204"/>
      <c r="IM7" s="204"/>
      <c r="IN7" s="204"/>
      <c r="IO7" s="204"/>
      <c r="IP7" s="204"/>
      <c r="IQ7" s="204"/>
      <c r="IR7" s="204"/>
      <c r="IS7" s="204"/>
      <c r="IT7" s="204"/>
      <c r="IU7" s="204"/>
    </row>
    <row r="8" spans="1:255" x14ac:dyDescent="0.25">
      <c r="A8" s="205"/>
      <c r="B8" s="205"/>
      <c r="C8" s="205"/>
      <c r="D8" s="205"/>
      <c r="E8" s="205"/>
      <c r="F8" s="205"/>
      <c r="G8" s="318"/>
      <c r="H8" s="205"/>
      <c r="I8" s="318"/>
      <c r="J8" s="318"/>
      <c r="K8" s="205"/>
      <c r="L8" s="203"/>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c r="CC8" s="204"/>
      <c r="CD8" s="204"/>
      <c r="CE8" s="204"/>
      <c r="CF8" s="204"/>
      <c r="CG8" s="204"/>
      <c r="CH8" s="204"/>
      <c r="CI8" s="204"/>
      <c r="CJ8" s="204"/>
      <c r="CK8" s="204"/>
      <c r="CL8" s="204"/>
      <c r="CM8" s="204"/>
      <c r="CN8" s="204"/>
      <c r="CO8" s="204"/>
      <c r="CP8" s="204"/>
      <c r="CQ8" s="204"/>
      <c r="CR8" s="204"/>
      <c r="CS8" s="204"/>
      <c r="CT8" s="204"/>
      <c r="CU8" s="204"/>
      <c r="CV8" s="204"/>
      <c r="CW8" s="204"/>
      <c r="CX8" s="204"/>
      <c r="CY8" s="204"/>
      <c r="CZ8" s="204"/>
      <c r="DA8" s="204"/>
      <c r="DB8" s="204"/>
      <c r="DC8" s="204"/>
      <c r="DD8" s="204"/>
      <c r="DE8" s="204"/>
      <c r="DF8" s="204"/>
      <c r="DG8" s="204"/>
      <c r="DH8" s="204"/>
      <c r="DI8" s="204"/>
      <c r="DJ8" s="204"/>
      <c r="DK8" s="204"/>
      <c r="DL8" s="204"/>
      <c r="DM8" s="204"/>
      <c r="DN8" s="204"/>
      <c r="DO8" s="204"/>
      <c r="DP8" s="204"/>
      <c r="DQ8" s="204"/>
      <c r="DR8" s="204"/>
      <c r="DS8" s="204"/>
      <c r="DT8" s="204"/>
      <c r="DU8" s="204"/>
      <c r="DV8" s="204"/>
      <c r="DW8" s="204"/>
      <c r="DX8" s="204"/>
      <c r="DY8" s="204"/>
      <c r="DZ8" s="204"/>
      <c r="EA8" s="204"/>
      <c r="EB8" s="204"/>
      <c r="EC8" s="204"/>
      <c r="ED8" s="204"/>
      <c r="EE8" s="204"/>
      <c r="EF8" s="204"/>
      <c r="EG8" s="204"/>
      <c r="EH8" s="204"/>
      <c r="EI8" s="204"/>
      <c r="EJ8" s="204"/>
      <c r="EK8" s="204"/>
      <c r="EL8" s="204"/>
      <c r="EM8" s="204"/>
      <c r="EN8" s="204"/>
      <c r="EO8" s="204"/>
      <c r="EP8" s="204"/>
      <c r="EQ8" s="204"/>
      <c r="ER8" s="204"/>
      <c r="ES8" s="204"/>
      <c r="ET8" s="204"/>
      <c r="EU8" s="204"/>
      <c r="EV8" s="204"/>
      <c r="EW8" s="204"/>
      <c r="EX8" s="204"/>
      <c r="EY8" s="204"/>
      <c r="EZ8" s="204"/>
      <c r="FA8" s="204"/>
      <c r="FB8" s="204"/>
      <c r="FC8" s="204"/>
      <c r="FD8" s="204"/>
      <c r="FE8" s="204"/>
      <c r="FF8" s="204"/>
      <c r="FG8" s="204"/>
      <c r="FH8" s="204"/>
      <c r="FI8" s="204"/>
      <c r="FJ8" s="204"/>
      <c r="FK8" s="204"/>
      <c r="FL8" s="204"/>
      <c r="FM8" s="204"/>
      <c r="FN8" s="204"/>
      <c r="FO8" s="204"/>
      <c r="FP8" s="204"/>
      <c r="FQ8" s="204"/>
      <c r="FR8" s="204"/>
      <c r="FS8" s="204"/>
      <c r="FT8" s="204"/>
      <c r="FU8" s="204"/>
      <c r="FV8" s="204"/>
      <c r="FW8" s="204"/>
      <c r="FX8" s="204"/>
      <c r="FY8" s="204"/>
      <c r="FZ8" s="204"/>
      <c r="GA8" s="204"/>
      <c r="GB8" s="204"/>
      <c r="GC8" s="204"/>
      <c r="GD8" s="204"/>
      <c r="GE8" s="204"/>
      <c r="GF8" s="204"/>
      <c r="GG8" s="204"/>
      <c r="GH8" s="204"/>
      <c r="GI8" s="204"/>
      <c r="GJ8" s="204"/>
      <c r="GK8" s="204"/>
      <c r="GL8" s="204"/>
      <c r="GM8" s="204"/>
      <c r="GN8" s="204"/>
      <c r="GO8" s="204"/>
      <c r="GP8" s="204"/>
      <c r="GQ8" s="204"/>
      <c r="GR8" s="204"/>
      <c r="GS8" s="204"/>
      <c r="GT8" s="204"/>
      <c r="GU8" s="204"/>
      <c r="GV8" s="204"/>
      <c r="GW8" s="204"/>
      <c r="GX8" s="204"/>
      <c r="GY8" s="204"/>
      <c r="GZ8" s="204"/>
      <c r="HA8" s="204"/>
      <c r="HB8" s="204"/>
      <c r="HC8" s="204"/>
      <c r="HD8" s="204"/>
      <c r="HE8" s="204"/>
      <c r="HF8" s="204"/>
      <c r="HG8" s="204"/>
      <c r="HH8" s="204"/>
      <c r="HI8" s="204"/>
      <c r="HJ8" s="204"/>
      <c r="HK8" s="204"/>
      <c r="HL8" s="204"/>
      <c r="HM8" s="204"/>
      <c r="HN8" s="204"/>
      <c r="HO8" s="204"/>
      <c r="HP8" s="204"/>
      <c r="HQ8" s="204"/>
      <c r="HR8" s="204"/>
      <c r="HS8" s="204"/>
      <c r="HT8" s="204"/>
      <c r="HU8" s="204"/>
      <c r="HV8" s="204"/>
      <c r="HW8" s="204"/>
      <c r="HX8" s="204"/>
      <c r="HY8" s="204"/>
      <c r="HZ8" s="204"/>
      <c r="IA8" s="204"/>
      <c r="IB8" s="204"/>
      <c r="IC8" s="204"/>
      <c r="ID8" s="204"/>
      <c r="IE8" s="204"/>
      <c r="IF8" s="204"/>
      <c r="IG8" s="204"/>
      <c r="IH8" s="204"/>
      <c r="II8" s="204"/>
      <c r="IJ8" s="204"/>
      <c r="IK8" s="204"/>
      <c r="IL8" s="204"/>
      <c r="IM8" s="204"/>
      <c r="IN8" s="204"/>
      <c r="IO8" s="204"/>
      <c r="IP8" s="204"/>
      <c r="IQ8" s="204"/>
      <c r="IR8" s="204"/>
      <c r="IS8" s="204"/>
      <c r="IT8" s="204"/>
      <c r="IU8" s="204"/>
    </row>
    <row r="9" spans="1:255" x14ac:dyDescent="0.25">
      <c r="A9" s="205"/>
      <c r="B9" s="205"/>
      <c r="C9" s="205"/>
      <c r="D9" s="205"/>
      <c r="E9" s="205"/>
      <c r="F9" s="205"/>
      <c r="G9" s="318"/>
      <c r="H9" s="205"/>
      <c r="I9" s="318"/>
      <c r="J9" s="318"/>
      <c r="K9" s="205"/>
      <c r="L9" s="203"/>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c r="FU9" s="204"/>
      <c r="FV9" s="204"/>
      <c r="FW9" s="204"/>
      <c r="FX9" s="204"/>
      <c r="FY9" s="204"/>
      <c r="FZ9" s="204"/>
      <c r="GA9" s="204"/>
      <c r="GB9" s="204"/>
      <c r="GC9" s="204"/>
      <c r="GD9" s="204"/>
      <c r="GE9" s="204"/>
      <c r="GF9" s="204"/>
      <c r="GG9" s="204"/>
      <c r="GH9" s="204"/>
      <c r="GI9" s="204"/>
      <c r="GJ9" s="204"/>
      <c r="GK9" s="204"/>
      <c r="GL9" s="204"/>
      <c r="GM9" s="204"/>
      <c r="GN9" s="204"/>
      <c r="GO9" s="204"/>
      <c r="GP9" s="204"/>
      <c r="GQ9" s="204"/>
      <c r="GR9" s="204"/>
      <c r="GS9" s="204"/>
      <c r="GT9" s="204"/>
      <c r="GU9" s="204"/>
      <c r="GV9" s="204"/>
      <c r="GW9" s="204"/>
      <c r="GX9" s="204"/>
      <c r="GY9" s="204"/>
      <c r="GZ9" s="204"/>
      <c r="HA9" s="204"/>
      <c r="HB9" s="204"/>
      <c r="HC9" s="204"/>
      <c r="HD9" s="204"/>
      <c r="HE9" s="204"/>
      <c r="HF9" s="204"/>
      <c r="HG9" s="204"/>
      <c r="HH9" s="204"/>
      <c r="HI9" s="204"/>
      <c r="HJ9" s="204"/>
      <c r="HK9" s="204"/>
      <c r="HL9" s="204"/>
      <c r="HM9" s="204"/>
      <c r="HN9" s="204"/>
      <c r="HO9" s="204"/>
      <c r="HP9" s="204"/>
      <c r="HQ9" s="204"/>
      <c r="HR9" s="204"/>
      <c r="HS9" s="204"/>
      <c r="HT9" s="204"/>
      <c r="HU9" s="204"/>
      <c r="HV9" s="204"/>
      <c r="HW9" s="204"/>
      <c r="HX9" s="204"/>
      <c r="HY9" s="204"/>
      <c r="HZ9" s="204"/>
      <c r="IA9" s="204"/>
      <c r="IB9" s="204"/>
      <c r="IC9" s="204"/>
      <c r="ID9" s="204"/>
      <c r="IE9" s="204"/>
      <c r="IF9" s="204"/>
      <c r="IG9" s="204"/>
      <c r="IH9" s="204"/>
      <c r="II9" s="204"/>
      <c r="IJ9" s="204"/>
      <c r="IK9" s="204"/>
      <c r="IL9" s="204"/>
      <c r="IM9" s="204"/>
      <c r="IN9" s="204"/>
      <c r="IO9" s="204"/>
      <c r="IP9" s="204"/>
      <c r="IQ9" s="204"/>
      <c r="IR9" s="204"/>
      <c r="IS9" s="204"/>
      <c r="IT9" s="204"/>
      <c r="IU9" s="204"/>
    </row>
    <row r="10" spans="1:255" x14ac:dyDescent="0.25">
      <c r="A10" s="205"/>
      <c r="B10" s="205"/>
      <c r="C10" s="205" t="s">
        <v>183</v>
      </c>
      <c r="D10" s="205"/>
      <c r="E10" s="205">
        <f>Resultater!H68</f>
        <v>525</v>
      </c>
      <c r="F10" s="205"/>
      <c r="G10" s="318">
        <f>E10</f>
        <v>525</v>
      </c>
      <c r="H10" s="205"/>
      <c r="I10" s="318">
        <f>E10</f>
        <v>525</v>
      </c>
      <c r="J10" s="318">
        <f>E10</f>
        <v>525</v>
      </c>
      <c r="K10" s="205"/>
      <c r="L10" s="203"/>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c r="BU10" s="204"/>
      <c r="BV10" s="204"/>
      <c r="BW10" s="204"/>
      <c r="BX10" s="204"/>
      <c r="BY10" s="204"/>
      <c r="BZ10" s="204"/>
      <c r="CA10" s="204"/>
      <c r="CB10" s="204"/>
      <c r="CC10" s="204"/>
      <c r="CD10" s="204"/>
      <c r="CE10" s="204"/>
      <c r="CF10" s="204"/>
      <c r="CG10" s="204"/>
      <c r="CH10" s="204"/>
      <c r="CI10" s="204"/>
      <c r="CJ10" s="204"/>
      <c r="CK10" s="204"/>
      <c r="CL10" s="204"/>
      <c r="CM10" s="204"/>
      <c r="CN10" s="204"/>
      <c r="CO10" s="204"/>
      <c r="CP10" s="204"/>
      <c r="CQ10" s="204"/>
      <c r="CR10" s="204"/>
      <c r="CS10" s="204"/>
      <c r="CT10" s="204"/>
      <c r="CU10" s="204"/>
      <c r="CV10" s="204"/>
      <c r="CW10" s="204"/>
      <c r="CX10" s="204"/>
      <c r="CY10" s="204"/>
      <c r="CZ10" s="204"/>
      <c r="DA10" s="204"/>
      <c r="DB10" s="204"/>
      <c r="DC10" s="204"/>
      <c r="DD10" s="204"/>
      <c r="DE10" s="204"/>
      <c r="DF10" s="204"/>
      <c r="DG10" s="204"/>
      <c r="DH10" s="204"/>
      <c r="DI10" s="204"/>
      <c r="DJ10" s="204"/>
      <c r="DK10" s="204"/>
      <c r="DL10" s="204"/>
      <c r="DM10" s="204"/>
      <c r="DN10" s="204"/>
      <c r="DO10" s="204"/>
      <c r="DP10" s="204"/>
      <c r="DQ10" s="204"/>
      <c r="DR10" s="204"/>
      <c r="DS10" s="204"/>
      <c r="DT10" s="204"/>
      <c r="DU10" s="204"/>
      <c r="DV10" s="204"/>
      <c r="DW10" s="204"/>
      <c r="DX10" s="204"/>
      <c r="DY10" s="204"/>
      <c r="DZ10" s="204"/>
      <c r="EA10" s="204"/>
      <c r="EB10" s="204"/>
      <c r="EC10" s="204"/>
      <c r="ED10" s="204"/>
      <c r="EE10" s="204"/>
      <c r="EF10" s="204"/>
      <c r="EG10" s="204"/>
      <c r="EH10" s="204"/>
      <c r="EI10" s="204"/>
      <c r="EJ10" s="204"/>
      <c r="EK10" s="204"/>
      <c r="EL10" s="204"/>
      <c r="EM10" s="204"/>
      <c r="EN10" s="204"/>
      <c r="EO10" s="204"/>
      <c r="EP10" s="204"/>
      <c r="EQ10" s="204"/>
      <c r="ER10" s="204"/>
      <c r="ES10" s="204"/>
      <c r="ET10" s="204"/>
      <c r="EU10" s="204"/>
      <c r="EV10" s="204"/>
      <c r="EW10" s="204"/>
      <c r="EX10" s="204"/>
      <c r="EY10" s="204"/>
      <c r="EZ10" s="204"/>
      <c r="FA10" s="204"/>
      <c r="FB10" s="204"/>
      <c r="FC10" s="204"/>
      <c r="FD10" s="204"/>
      <c r="FE10" s="204"/>
      <c r="FF10" s="204"/>
      <c r="FG10" s="204"/>
      <c r="FH10" s="204"/>
      <c r="FI10" s="204"/>
      <c r="FJ10" s="204"/>
      <c r="FK10" s="204"/>
      <c r="FL10" s="204"/>
      <c r="FM10" s="204"/>
      <c r="FN10" s="204"/>
      <c r="FO10" s="204"/>
      <c r="FP10" s="204"/>
      <c r="FQ10" s="204"/>
      <c r="FR10" s="204"/>
      <c r="FS10" s="204"/>
      <c r="FT10" s="204"/>
      <c r="FU10" s="204"/>
      <c r="FV10" s="204"/>
      <c r="FW10" s="204"/>
      <c r="FX10" s="204"/>
      <c r="FY10" s="204"/>
      <c r="FZ10" s="204"/>
      <c r="GA10" s="204"/>
      <c r="GB10" s="204"/>
      <c r="GC10" s="204"/>
      <c r="GD10" s="204"/>
      <c r="GE10" s="204"/>
      <c r="GF10" s="204"/>
      <c r="GG10" s="204"/>
      <c r="GH10" s="204"/>
      <c r="GI10" s="204"/>
      <c r="GJ10" s="204"/>
      <c r="GK10" s="204"/>
      <c r="GL10" s="204"/>
      <c r="GM10" s="204"/>
      <c r="GN10" s="204"/>
      <c r="GO10" s="204"/>
      <c r="GP10" s="204"/>
      <c r="GQ10" s="204"/>
      <c r="GR10" s="204"/>
      <c r="GS10" s="204"/>
      <c r="GT10" s="204"/>
      <c r="GU10" s="204"/>
      <c r="GV10" s="204"/>
      <c r="GW10" s="204"/>
      <c r="GX10" s="204"/>
      <c r="GY10" s="204"/>
      <c r="GZ10" s="204"/>
      <c r="HA10" s="204"/>
      <c r="HB10" s="204"/>
      <c r="HC10" s="204"/>
      <c r="HD10" s="204"/>
      <c r="HE10" s="204"/>
      <c r="HF10" s="204"/>
      <c r="HG10" s="204"/>
      <c r="HH10" s="204"/>
      <c r="HI10" s="204"/>
      <c r="HJ10" s="204"/>
      <c r="HK10" s="204"/>
      <c r="HL10" s="204"/>
      <c r="HM10" s="204"/>
      <c r="HN10" s="204"/>
      <c r="HO10" s="204"/>
      <c r="HP10" s="204"/>
      <c r="HQ10" s="204"/>
      <c r="HR10" s="204"/>
      <c r="HS10" s="204"/>
      <c r="HT10" s="204"/>
      <c r="HU10" s="204"/>
      <c r="HV10" s="204"/>
      <c r="HW10" s="204"/>
      <c r="HX10" s="204"/>
      <c r="HY10" s="204"/>
      <c r="HZ10" s="204"/>
      <c r="IA10" s="204"/>
      <c r="IB10" s="204"/>
      <c r="IC10" s="204"/>
      <c r="ID10" s="204"/>
      <c r="IE10" s="204"/>
      <c r="IF10" s="204"/>
      <c r="IG10" s="204"/>
      <c r="IH10" s="204"/>
      <c r="II10" s="204"/>
      <c r="IJ10" s="204"/>
      <c r="IK10" s="204"/>
      <c r="IL10" s="204"/>
      <c r="IM10" s="204"/>
      <c r="IN10" s="204"/>
      <c r="IO10" s="204"/>
      <c r="IP10" s="204"/>
      <c r="IQ10" s="204"/>
      <c r="IR10" s="204"/>
      <c r="IS10" s="204"/>
      <c r="IT10" s="204"/>
      <c r="IU10" s="204"/>
    </row>
    <row r="11" spans="1:255" x14ac:dyDescent="0.25">
      <c r="A11" s="205"/>
      <c r="B11" s="205"/>
      <c r="C11" s="206" t="s">
        <v>184</v>
      </c>
      <c r="D11" s="206"/>
      <c r="E11" s="207">
        <f>Resultater!$H69</f>
        <v>800</v>
      </c>
      <c r="F11" s="207"/>
      <c r="G11" s="319">
        <f>Resultater!$H69</f>
        <v>800</v>
      </c>
      <c r="H11" s="207"/>
      <c r="I11" s="319">
        <f>Resultater!$H69</f>
        <v>800</v>
      </c>
      <c r="J11" s="319">
        <f>Resultater!$H69</f>
        <v>800</v>
      </c>
      <c r="K11" s="208"/>
      <c r="L11" s="203"/>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4"/>
      <c r="FG11" s="204"/>
      <c r="FH11" s="204"/>
      <c r="FI11" s="204"/>
      <c r="FJ11" s="204"/>
      <c r="FK11" s="204"/>
      <c r="FL11" s="204"/>
      <c r="FM11" s="204"/>
      <c r="FN11" s="204"/>
      <c r="FO11" s="204"/>
      <c r="FP11" s="204"/>
      <c r="FQ11" s="204"/>
      <c r="FR11" s="204"/>
      <c r="FS11" s="204"/>
      <c r="FT11" s="204"/>
      <c r="FU11" s="204"/>
      <c r="FV11" s="204"/>
      <c r="FW11" s="204"/>
      <c r="FX11" s="204"/>
      <c r="FY11" s="204"/>
      <c r="FZ11" s="204"/>
      <c r="GA11" s="204"/>
      <c r="GB11" s="204"/>
      <c r="GC11" s="204"/>
      <c r="GD11" s="204"/>
      <c r="GE11" s="204"/>
      <c r="GF11" s="204"/>
      <c r="GG11" s="204"/>
      <c r="GH11" s="204"/>
      <c r="GI11" s="204"/>
      <c r="GJ11" s="204"/>
      <c r="GK11" s="204"/>
      <c r="GL11" s="204"/>
      <c r="GM11" s="204"/>
      <c r="GN11" s="204"/>
      <c r="GO11" s="204"/>
      <c r="GP11" s="204"/>
      <c r="GQ11" s="204"/>
      <c r="GR11" s="204"/>
      <c r="GS11" s="204"/>
      <c r="GT11" s="204"/>
      <c r="GU11" s="204"/>
      <c r="GV11" s="204"/>
      <c r="GW11" s="204"/>
      <c r="GX11" s="204"/>
      <c r="GY11" s="204"/>
      <c r="GZ11" s="204"/>
      <c r="HA11" s="204"/>
      <c r="HB11" s="204"/>
      <c r="HC11" s="204"/>
      <c r="HD11" s="204"/>
      <c r="HE11" s="204"/>
      <c r="HF11" s="204"/>
      <c r="HG11" s="204"/>
      <c r="HH11" s="204"/>
      <c r="HI11" s="204"/>
      <c r="HJ11" s="204"/>
      <c r="HK11" s="204"/>
      <c r="HL11" s="204"/>
      <c r="HM11" s="204"/>
      <c r="HN11" s="204"/>
      <c r="HO11" s="204"/>
      <c r="HP11" s="204"/>
      <c r="HQ11" s="204"/>
      <c r="HR11" s="204"/>
      <c r="HS11" s="204"/>
      <c r="HT11" s="204"/>
      <c r="HU11" s="204"/>
      <c r="HV11" s="204"/>
      <c r="HW11" s="204"/>
      <c r="HX11" s="204"/>
      <c r="HY11" s="204"/>
      <c r="HZ11" s="204"/>
      <c r="IA11" s="204"/>
      <c r="IB11" s="204"/>
      <c r="IC11" s="204"/>
      <c r="ID11" s="204"/>
      <c r="IE11" s="204"/>
      <c r="IF11" s="204"/>
      <c r="IG11" s="204"/>
      <c r="IH11" s="204"/>
      <c r="II11" s="204"/>
      <c r="IJ11" s="204"/>
      <c r="IK11" s="204"/>
      <c r="IL11" s="204"/>
      <c r="IM11" s="204"/>
      <c r="IN11" s="204"/>
      <c r="IO11" s="204"/>
      <c r="IP11" s="204"/>
      <c r="IQ11" s="204"/>
      <c r="IR11" s="204"/>
      <c r="IS11" s="204"/>
      <c r="IT11" s="204"/>
      <c r="IU11" s="204"/>
    </row>
    <row r="12" spans="1:255" x14ac:dyDescent="0.25">
      <c r="B12" s="209"/>
      <c r="C12" s="209"/>
      <c r="D12" s="209"/>
      <c r="E12" s="209"/>
      <c r="F12" s="209"/>
      <c r="G12" s="321"/>
      <c r="H12" s="209"/>
      <c r="I12" s="321"/>
      <c r="J12" s="321"/>
      <c r="K12" s="209"/>
      <c r="L12" s="201"/>
    </row>
    <row r="13" spans="1:255" x14ac:dyDescent="0.25">
      <c r="B13" s="209"/>
      <c r="C13" s="209"/>
      <c r="D13" s="209"/>
      <c r="E13" s="209"/>
      <c r="F13" s="209"/>
      <c r="G13" s="321"/>
      <c r="H13" s="209"/>
      <c r="I13" s="321"/>
      <c r="J13" s="321"/>
      <c r="K13" s="209"/>
      <c r="L13" s="201"/>
    </row>
    <row r="14" spans="1:255" ht="18.75" x14ac:dyDescent="0.25">
      <c r="A14" s="205"/>
      <c r="B14" s="381" t="s">
        <v>216</v>
      </c>
      <c r="C14" s="382"/>
      <c r="D14" s="177"/>
      <c r="E14" s="185">
        <f>E3</f>
        <v>2023</v>
      </c>
      <c r="F14" s="176"/>
      <c r="G14" s="322">
        <f>G3</f>
        <v>2024</v>
      </c>
      <c r="H14" s="176"/>
      <c r="I14" s="322">
        <f>I3</f>
        <v>2025</v>
      </c>
      <c r="J14" s="330">
        <f>J3</f>
        <v>2026</v>
      </c>
      <c r="K14" s="223"/>
      <c r="L14" s="203"/>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4"/>
      <c r="CG14" s="204"/>
      <c r="CH14" s="204"/>
      <c r="CI14" s="204"/>
      <c r="CJ14" s="204"/>
      <c r="CK14" s="204"/>
      <c r="CL14" s="204"/>
      <c r="CM14" s="204"/>
      <c r="CN14" s="204"/>
      <c r="CO14" s="204"/>
      <c r="CP14" s="204"/>
      <c r="CQ14" s="204"/>
      <c r="CR14" s="204"/>
      <c r="CS14" s="204"/>
      <c r="CT14" s="204"/>
      <c r="CU14" s="204"/>
      <c r="CV14" s="204"/>
      <c r="CW14" s="204"/>
      <c r="CX14" s="204"/>
      <c r="CY14" s="204"/>
      <c r="CZ14" s="204"/>
      <c r="DA14" s="204"/>
      <c r="DB14" s="204"/>
      <c r="DC14" s="204"/>
      <c r="DD14" s="204"/>
      <c r="DE14" s="204"/>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c r="EB14" s="204"/>
      <c r="EC14" s="204"/>
      <c r="ED14" s="204"/>
      <c r="EE14" s="204"/>
      <c r="EF14" s="204"/>
      <c r="EG14" s="204"/>
      <c r="EH14" s="204"/>
      <c r="EI14" s="204"/>
      <c r="EJ14" s="204"/>
      <c r="EK14" s="204"/>
      <c r="EL14" s="204"/>
      <c r="EM14" s="204"/>
      <c r="EN14" s="204"/>
      <c r="EO14" s="204"/>
      <c r="EP14" s="204"/>
      <c r="EQ14" s="204"/>
      <c r="ER14" s="204"/>
      <c r="ES14" s="204"/>
      <c r="ET14" s="204"/>
      <c r="EU14" s="204"/>
      <c r="EV14" s="204"/>
      <c r="EW14" s="204"/>
      <c r="EX14" s="204"/>
      <c r="EY14" s="204"/>
      <c r="EZ14" s="204"/>
      <c r="FA14" s="204"/>
      <c r="FB14" s="204"/>
      <c r="FC14" s="204"/>
      <c r="FD14" s="204"/>
      <c r="FE14" s="204"/>
      <c r="FF14" s="204"/>
      <c r="FG14" s="204"/>
      <c r="FH14" s="204"/>
      <c r="FI14" s="204"/>
      <c r="FJ14" s="204"/>
      <c r="FK14" s="204"/>
      <c r="FL14" s="204"/>
      <c r="FM14" s="204"/>
      <c r="FN14" s="204"/>
      <c r="FO14" s="204"/>
      <c r="FP14" s="204"/>
      <c r="FQ14" s="204"/>
      <c r="FR14" s="204"/>
      <c r="FS14" s="204"/>
      <c r="FT14" s="204"/>
      <c r="FU14" s="204"/>
      <c r="FV14" s="204"/>
      <c r="FW14" s="204"/>
      <c r="FX14" s="204"/>
      <c r="FY14" s="204"/>
      <c r="FZ14" s="204"/>
      <c r="GA14" s="204"/>
      <c r="GB14" s="204"/>
      <c r="GC14" s="204"/>
      <c r="GD14" s="204"/>
      <c r="GE14" s="204"/>
      <c r="GF14" s="204"/>
      <c r="GG14" s="204"/>
      <c r="GH14" s="204"/>
      <c r="GI14" s="204"/>
      <c r="GJ14" s="204"/>
      <c r="GK14" s="204"/>
      <c r="GL14" s="204"/>
      <c r="GM14" s="204"/>
      <c r="GN14" s="204"/>
      <c r="GO14" s="204"/>
      <c r="GP14" s="204"/>
      <c r="GQ14" s="204"/>
      <c r="GR14" s="204"/>
      <c r="GS14" s="204"/>
      <c r="GT14" s="204"/>
      <c r="GU14" s="204"/>
      <c r="GV14" s="204"/>
      <c r="GW14" s="204"/>
      <c r="GX14" s="204"/>
      <c r="GY14" s="204"/>
      <c r="GZ14" s="204"/>
      <c r="HA14" s="204"/>
      <c r="HB14" s="204"/>
      <c r="HC14" s="204"/>
      <c r="HD14" s="204"/>
      <c r="HE14" s="204"/>
      <c r="HF14" s="204"/>
      <c r="HG14" s="204"/>
      <c r="HH14" s="204"/>
      <c r="HI14" s="204"/>
      <c r="HJ14" s="204"/>
      <c r="HK14" s="204"/>
      <c r="HL14" s="204"/>
      <c r="HM14" s="204"/>
      <c r="HN14" s="204"/>
      <c r="HO14" s="204"/>
      <c r="HP14" s="204"/>
      <c r="HQ14" s="204"/>
      <c r="HR14" s="204"/>
      <c r="HS14" s="204"/>
      <c r="HT14" s="204"/>
      <c r="HU14" s="204"/>
      <c r="HV14" s="204"/>
      <c r="HW14" s="204"/>
      <c r="HX14" s="204"/>
      <c r="HY14" s="204"/>
      <c r="HZ14" s="204"/>
      <c r="IA14" s="204"/>
      <c r="IB14" s="204"/>
      <c r="IC14" s="204"/>
      <c r="ID14" s="204"/>
      <c r="IE14" s="204"/>
      <c r="IF14" s="204"/>
      <c r="IG14" s="204"/>
      <c r="IH14" s="204"/>
      <c r="II14" s="204"/>
      <c r="IJ14" s="204"/>
      <c r="IK14" s="204"/>
      <c r="IL14" s="204"/>
      <c r="IM14" s="204"/>
      <c r="IN14" s="204"/>
      <c r="IO14" s="204"/>
      <c r="IP14" s="204"/>
      <c r="IQ14" s="204"/>
      <c r="IR14" s="204"/>
      <c r="IS14" s="204"/>
      <c r="IT14" s="204"/>
      <c r="IU14" s="204"/>
    </row>
    <row r="15" spans="1:255" x14ac:dyDescent="0.25">
      <c r="A15" s="205"/>
      <c r="B15" s="210"/>
      <c r="C15" s="205"/>
      <c r="D15" s="205"/>
      <c r="E15" s="211" t="s">
        <v>185</v>
      </c>
      <c r="F15" s="214"/>
      <c r="G15" s="323"/>
      <c r="H15" s="214"/>
      <c r="I15" s="323"/>
      <c r="J15" s="323"/>
      <c r="K15" s="205"/>
      <c r="L15" s="203"/>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c r="IE15" s="204"/>
      <c r="IF15" s="204"/>
      <c r="IG15" s="204"/>
      <c r="IH15" s="204"/>
      <c r="II15" s="204"/>
      <c r="IJ15" s="204"/>
      <c r="IK15" s="204"/>
      <c r="IL15" s="204"/>
      <c r="IM15" s="204"/>
      <c r="IN15" s="204"/>
      <c r="IO15" s="204"/>
      <c r="IP15" s="204"/>
      <c r="IQ15" s="204"/>
      <c r="IR15" s="204"/>
      <c r="IS15" s="204"/>
      <c r="IT15" s="204"/>
      <c r="IU15" s="204"/>
    </row>
    <row r="16" spans="1:255" x14ac:dyDescent="0.25">
      <c r="A16" s="205"/>
      <c r="B16" s="205"/>
      <c r="C16" s="205" t="s">
        <v>186</v>
      </c>
      <c r="D16" s="205"/>
      <c r="E16" s="208">
        <f>(E4*E5+E6*E7)/1000</f>
        <v>11137.4946</v>
      </c>
      <c r="F16" s="208"/>
      <c r="G16" s="320">
        <f>(G4*G5+G6*G7)/1000</f>
        <v>12262.5</v>
      </c>
      <c r="H16" s="208"/>
      <c r="I16" s="320">
        <f>(I4*I5+I6*I7)/1000</f>
        <v>13275</v>
      </c>
      <c r="J16" s="320">
        <f>(J4*J5+J6*J7)/1000</f>
        <v>13275</v>
      </c>
      <c r="K16" s="205"/>
      <c r="L16" s="203"/>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c r="IE16" s="204"/>
      <c r="IF16" s="204"/>
      <c r="IG16" s="204"/>
      <c r="IH16" s="204"/>
      <c r="II16" s="204"/>
      <c r="IJ16" s="204"/>
      <c r="IK16" s="204"/>
      <c r="IL16" s="204"/>
      <c r="IM16" s="204"/>
      <c r="IN16" s="204"/>
      <c r="IO16" s="204"/>
      <c r="IP16" s="204"/>
      <c r="IQ16" s="204"/>
      <c r="IR16" s="204"/>
      <c r="IS16" s="204"/>
      <c r="IT16" s="204"/>
      <c r="IU16" s="204"/>
    </row>
    <row r="17" spans="1:255" x14ac:dyDescent="0.25">
      <c r="A17" s="205"/>
      <c r="B17" s="205"/>
      <c r="C17" s="205" t="s">
        <v>187</v>
      </c>
      <c r="D17" s="205"/>
      <c r="E17" s="208">
        <f>E10*E11/1000</f>
        <v>420</v>
      </c>
      <c r="F17" s="208"/>
      <c r="G17" s="320">
        <f>G10*G11/1000</f>
        <v>420</v>
      </c>
      <c r="H17" s="208"/>
      <c r="I17" s="320">
        <f>I10*I11/1000</f>
        <v>420</v>
      </c>
      <c r="J17" s="320">
        <f>J10*J11/1000</f>
        <v>420</v>
      </c>
      <c r="K17" s="205"/>
      <c r="L17" s="203"/>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c r="IE17" s="204"/>
      <c r="IF17" s="204"/>
      <c r="IG17" s="204"/>
      <c r="IH17" s="204"/>
      <c r="II17" s="204"/>
      <c r="IJ17" s="204"/>
      <c r="IK17" s="204"/>
      <c r="IL17" s="204"/>
      <c r="IM17" s="204"/>
      <c r="IN17" s="204"/>
      <c r="IO17" s="204"/>
      <c r="IP17" s="204"/>
      <c r="IQ17" s="204"/>
      <c r="IR17" s="204"/>
      <c r="IS17" s="204"/>
      <c r="IT17" s="204"/>
      <c r="IU17" s="204"/>
    </row>
    <row r="18" spans="1:255" x14ac:dyDescent="0.25">
      <c r="A18" s="205"/>
      <c r="B18" s="205"/>
      <c r="C18" s="177" t="str">
        <f>Indtast!B45</f>
        <v>Diverse indtægter</v>
      </c>
      <c r="D18" s="177"/>
      <c r="E18" s="311">
        <f>Resultater!$H76</f>
        <v>5</v>
      </c>
      <c r="F18" s="311"/>
      <c r="G18" s="324">
        <f>Resultater!$H76</f>
        <v>5</v>
      </c>
      <c r="H18" s="311"/>
      <c r="I18" s="324">
        <f>Resultater!$H76</f>
        <v>5</v>
      </c>
      <c r="J18" s="324">
        <f>Resultater!$H76</f>
        <v>5</v>
      </c>
      <c r="K18" s="205"/>
      <c r="L18" s="203"/>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c r="IE18" s="204"/>
      <c r="IF18" s="204"/>
      <c r="IG18" s="204"/>
      <c r="IH18" s="204"/>
      <c r="II18" s="204"/>
      <c r="IJ18" s="204"/>
      <c r="IK18" s="204"/>
      <c r="IL18" s="204"/>
      <c r="IM18" s="204"/>
      <c r="IN18" s="204"/>
      <c r="IO18" s="204"/>
      <c r="IP18" s="204"/>
      <c r="IQ18" s="204"/>
      <c r="IR18" s="204"/>
      <c r="IS18" s="204"/>
      <c r="IT18" s="204"/>
      <c r="IU18" s="204"/>
    </row>
    <row r="19" spans="1:255" x14ac:dyDescent="0.25">
      <c r="B19" s="212" t="s">
        <v>188</v>
      </c>
      <c r="C19" s="209"/>
      <c r="D19" s="209"/>
      <c r="E19" s="213">
        <f>SUM(E16:E18)</f>
        <v>11562.4946</v>
      </c>
      <c r="F19" s="209"/>
      <c r="G19" s="325">
        <f>SUM(G16:G18)</f>
        <v>12687.5</v>
      </c>
      <c r="H19" s="209"/>
      <c r="I19" s="325">
        <f>SUM(I16:I18)</f>
        <v>13700</v>
      </c>
      <c r="J19" s="325">
        <f>SUM(J16:J18)</f>
        <v>13700</v>
      </c>
      <c r="K19" s="215"/>
      <c r="L19" s="201"/>
    </row>
    <row r="20" spans="1:255" x14ac:dyDescent="0.25">
      <c r="B20" s="209"/>
      <c r="C20" s="209"/>
      <c r="D20" s="209"/>
      <c r="E20" s="209"/>
      <c r="F20" s="209"/>
      <c r="G20" s="321"/>
      <c r="H20" s="209"/>
      <c r="I20" s="321"/>
      <c r="J20" s="321"/>
      <c r="K20" s="215"/>
      <c r="L20" s="201"/>
    </row>
    <row r="21" spans="1:255" x14ac:dyDescent="0.25">
      <c r="A21" s="205"/>
      <c r="B21" s="205"/>
      <c r="C21" s="205" t="s">
        <v>217</v>
      </c>
      <c r="D21" s="205"/>
      <c r="E21" s="208">
        <f>Resultater!H78</f>
        <v>-475</v>
      </c>
      <c r="F21" s="208"/>
      <c r="G21" s="320">
        <f>E21</f>
        <v>-475</v>
      </c>
      <c r="H21" s="208"/>
      <c r="I21" s="320">
        <f>G21</f>
        <v>-475</v>
      </c>
      <c r="J21" s="320">
        <f>I21</f>
        <v>-475</v>
      </c>
      <c r="K21" s="208"/>
      <c r="L21" s="203"/>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c r="BX21" s="204"/>
      <c r="BY21" s="204"/>
      <c r="BZ21" s="204"/>
      <c r="CA21" s="204"/>
      <c r="CB21" s="204"/>
      <c r="CC21" s="204"/>
      <c r="CD21" s="204"/>
      <c r="CE21" s="204"/>
      <c r="CF21" s="204"/>
      <c r="CG21" s="204"/>
      <c r="CH21" s="204"/>
      <c r="CI21" s="204"/>
      <c r="CJ21" s="204"/>
      <c r="CK21" s="204"/>
      <c r="CL21" s="204"/>
      <c r="CM21" s="204"/>
      <c r="CN21" s="204"/>
      <c r="CO21" s="204"/>
      <c r="CP21" s="204"/>
      <c r="CQ21" s="204"/>
      <c r="CR21" s="204"/>
      <c r="CS21" s="204"/>
      <c r="CT21" s="204"/>
      <c r="CU21" s="204"/>
      <c r="CV21" s="204"/>
      <c r="CW21" s="204"/>
      <c r="CX21" s="204"/>
      <c r="CY21" s="204"/>
      <c r="CZ21" s="204"/>
      <c r="DA21" s="204"/>
      <c r="DB21" s="204"/>
      <c r="DC21" s="204"/>
      <c r="DD21" s="204"/>
      <c r="DE21" s="204"/>
      <c r="DF21" s="204"/>
      <c r="DG21" s="204"/>
      <c r="DH21" s="204"/>
      <c r="DI21" s="204"/>
      <c r="DJ21" s="204"/>
      <c r="DK21" s="204"/>
      <c r="DL21" s="204"/>
      <c r="DM21" s="204"/>
      <c r="DN21" s="204"/>
      <c r="DO21" s="204"/>
      <c r="DP21" s="204"/>
      <c r="DQ21" s="204"/>
      <c r="DR21" s="204"/>
      <c r="DS21" s="204"/>
      <c r="DT21" s="204"/>
      <c r="DU21" s="204"/>
      <c r="DV21" s="204"/>
      <c r="DW21" s="204"/>
      <c r="DX21" s="204"/>
      <c r="DY21" s="204"/>
      <c r="DZ21" s="204"/>
      <c r="EA21" s="204"/>
      <c r="EB21" s="204"/>
      <c r="EC21" s="204"/>
      <c r="ED21" s="204"/>
      <c r="EE21" s="204"/>
      <c r="EF21" s="204"/>
      <c r="EG21" s="204"/>
      <c r="EH21" s="204"/>
      <c r="EI21" s="204"/>
      <c r="EJ21" s="204"/>
      <c r="EK21" s="204"/>
      <c r="EL21" s="204"/>
      <c r="EM21" s="204"/>
      <c r="EN21" s="204"/>
      <c r="EO21" s="204"/>
      <c r="EP21" s="204"/>
      <c r="EQ21" s="204"/>
      <c r="ER21" s="204"/>
      <c r="ES21" s="204"/>
      <c r="ET21" s="204"/>
      <c r="EU21" s="204"/>
      <c r="EV21" s="204"/>
      <c r="EW21" s="204"/>
      <c r="EX21" s="204"/>
      <c r="EY21" s="204"/>
      <c r="EZ21" s="204"/>
      <c r="FA21" s="204"/>
      <c r="FB21" s="204"/>
      <c r="FC21" s="204"/>
      <c r="FD21" s="204"/>
      <c r="FE21" s="204"/>
      <c r="FF21" s="204"/>
      <c r="FG21" s="204"/>
      <c r="FH21" s="204"/>
      <c r="FI21" s="204"/>
      <c r="FJ21" s="204"/>
      <c r="FK21" s="204"/>
      <c r="FL21" s="204"/>
      <c r="FM21" s="204"/>
      <c r="FN21" s="204"/>
      <c r="FO21" s="204"/>
      <c r="FP21" s="204"/>
      <c r="FQ21" s="204"/>
      <c r="FR21" s="204"/>
      <c r="FS21" s="204"/>
      <c r="FT21" s="204"/>
      <c r="FU21" s="204"/>
      <c r="FV21" s="204"/>
      <c r="FW21" s="204"/>
      <c r="FX21" s="204"/>
      <c r="FY21" s="204"/>
      <c r="FZ21" s="204"/>
      <c r="GA21" s="204"/>
      <c r="GB21" s="204"/>
      <c r="GC21" s="204"/>
      <c r="GD21" s="204"/>
      <c r="GE21" s="204"/>
      <c r="GF21" s="204"/>
      <c r="GG21" s="204"/>
      <c r="GH21" s="204"/>
      <c r="GI21" s="204"/>
      <c r="GJ21" s="204"/>
      <c r="GK21" s="204"/>
      <c r="GL21" s="204"/>
      <c r="GM21" s="204"/>
      <c r="GN21" s="204"/>
      <c r="GO21" s="204"/>
      <c r="GP21" s="204"/>
      <c r="GQ21" s="204"/>
      <c r="GR21" s="204"/>
      <c r="GS21" s="204"/>
      <c r="GT21" s="204"/>
      <c r="GU21" s="204"/>
      <c r="GV21" s="204"/>
      <c r="GW21" s="204"/>
      <c r="GX21" s="204"/>
      <c r="GY21" s="204"/>
      <c r="GZ21" s="204"/>
      <c r="HA21" s="204"/>
      <c r="HB21" s="204"/>
      <c r="HC21" s="204"/>
      <c r="HD21" s="204"/>
      <c r="HE21" s="204"/>
      <c r="HF21" s="204"/>
      <c r="HG21" s="204"/>
      <c r="HH21" s="204"/>
      <c r="HI21" s="204"/>
      <c r="HJ21" s="204"/>
      <c r="HK21" s="204"/>
      <c r="HL21" s="204"/>
      <c r="HM21" s="204"/>
      <c r="HN21" s="204"/>
      <c r="HO21" s="204"/>
      <c r="HP21" s="204"/>
      <c r="HQ21" s="204"/>
      <c r="HR21" s="204"/>
      <c r="HS21" s="204"/>
      <c r="HT21" s="204"/>
      <c r="HU21" s="204"/>
      <c r="HV21" s="204"/>
      <c r="HW21" s="204"/>
      <c r="HX21" s="204"/>
      <c r="HY21" s="204"/>
      <c r="HZ21" s="204"/>
      <c r="IA21" s="204"/>
      <c r="IB21" s="204"/>
      <c r="IC21" s="204"/>
      <c r="ID21" s="204"/>
      <c r="IE21" s="204"/>
      <c r="IF21" s="204"/>
      <c r="IG21" s="204"/>
      <c r="IH21" s="204"/>
      <c r="II21" s="204"/>
      <c r="IJ21" s="204"/>
      <c r="IK21" s="204"/>
      <c r="IL21" s="204"/>
      <c r="IM21" s="204"/>
      <c r="IN21" s="204"/>
      <c r="IO21" s="204"/>
      <c r="IP21" s="204"/>
      <c r="IQ21" s="204"/>
      <c r="IR21" s="204"/>
      <c r="IS21" s="204"/>
      <c r="IT21" s="204"/>
      <c r="IU21" s="204"/>
    </row>
    <row r="22" spans="1:255" x14ac:dyDescent="0.25">
      <c r="A22" s="205"/>
      <c r="B22" s="205"/>
      <c r="C22" s="205" t="s">
        <v>36</v>
      </c>
      <c r="D22" s="205"/>
      <c r="E22" s="208">
        <f>Resultater!H79</f>
        <v>-872.5</v>
      </c>
      <c r="F22" s="205"/>
      <c r="G22" s="320">
        <f>E22</f>
        <v>-872.5</v>
      </c>
      <c r="H22" s="205"/>
      <c r="I22" s="320">
        <f>G22</f>
        <v>-872.5</v>
      </c>
      <c r="J22" s="320">
        <f>I22</f>
        <v>-872.5</v>
      </c>
      <c r="K22" s="205"/>
      <c r="L22" s="203"/>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c r="BX22" s="204"/>
      <c r="BY22" s="204"/>
      <c r="BZ22" s="204"/>
      <c r="CA22" s="204"/>
      <c r="CB22" s="204"/>
      <c r="CC22" s="204"/>
      <c r="CD22" s="204"/>
      <c r="CE22" s="204"/>
      <c r="CF22" s="204"/>
      <c r="CG22" s="204"/>
      <c r="CH22" s="204"/>
      <c r="CI22" s="204"/>
      <c r="CJ22" s="204"/>
      <c r="CK22" s="204"/>
      <c r="CL22" s="204"/>
      <c r="CM22" s="204"/>
      <c r="CN22" s="204"/>
      <c r="CO22" s="204"/>
      <c r="CP22" s="204"/>
      <c r="CQ22" s="204"/>
      <c r="CR22" s="204"/>
      <c r="CS22" s="204"/>
      <c r="CT22" s="204"/>
      <c r="CU22" s="204"/>
      <c r="CV22" s="204"/>
      <c r="CW22" s="204"/>
      <c r="CX22" s="204"/>
      <c r="CY22" s="204"/>
      <c r="CZ22" s="204"/>
      <c r="DA22" s="204"/>
      <c r="DB22" s="204"/>
      <c r="DC22" s="204"/>
      <c r="DD22" s="204"/>
      <c r="DE22" s="204"/>
      <c r="DF22" s="204"/>
      <c r="DG22" s="204"/>
      <c r="DH22" s="204"/>
      <c r="DI22" s="204"/>
      <c r="DJ22" s="204"/>
      <c r="DK22" s="204"/>
      <c r="DL22" s="204"/>
      <c r="DM22" s="204"/>
      <c r="DN22" s="204"/>
      <c r="DO22" s="204"/>
      <c r="DP22" s="204"/>
      <c r="DQ22" s="204"/>
      <c r="DR22" s="204"/>
      <c r="DS22" s="204"/>
      <c r="DT22" s="204"/>
      <c r="DU22" s="204"/>
      <c r="DV22" s="204"/>
      <c r="DW22" s="204"/>
      <c r="DX22" s="204"/>
      <c r="DY22" s="204"/>
      <c r="DZ22" s="204"/>
      <c r="EA22" s="204"/>
      <c r="EB22" s="204"/>
      <c r="EC22" s="204"/>
      <c r="ED22" s="204"/>
      <c r="EE22" s="204"/>
      <c r="EF22" s="204"/>
      <c r="EG22" s="204"/>
      <c r="EH22" s="204"/>
      <c r="EI22" s="204"/>
      <c r="EJ22" s="204"/>
      <c r="EK22" s="204"/>
      <c r="EL22" s="204"/>
      <c r="EM22" s="204"/>
      <c r="EN22" s="204"/>
      <c r="EO22" s="204"/>
      <c r="EP22" s="204"/>
      <c r="EQ22" s="204"/>
      <c r="ER22" s="204"/>
      <c r="ES22" s="204"/>
      <c r="ET22" s="204"/>
      <c r="EU22" s="204"/>
      <c r="EV22" s="204"/>
      <c r="EW22" s="204"/>
      <c r="EX22" s="204"/>
      <c r="EY22" s="204"/>
      <c r="EZ22" s="204"/>
      <c r="FA22" s="204"/>
      <c r="FB22" s="204"/>
      <c r="FC22" s="204"/>
      <c r="FD22" s="204"/>
      <c r="FE22" s="204"/>
      <c r="FF22" s="204"/>
      <c r="FG22" s="204"/>
      <c r="FH22" s="204"/>
      <c r="FI22" s="204"/>
      <c r="FJ22" s="204"/>
      <c r="FK22" s="204"/>
      <c r="FL22" s="204"/>
      <c r="FM22" s="204"/>
      <c r="FN22" s="204"/>
      <c r="FO22" s="204"/>
      <c r="FP22" s="204"/>
      <c r="FQ22" s="204"/>
      <c r="FR22" s="204"/>
      <c r="FS22" s="204"/>
      <c r="FT22" s="204"/>
      <c r="FU22" s="204"/>
      <c r="FV22" s="204"/>
      <c r="FW22" s="204"/>
      <c r="FX22" s="204"/>
      <c r="FY22" s="204"/>
      <c r="FZ22" s="204"/>
      <c r="GA22" s="204"/>
      <c r="GB22" s="204"/>
      <c r="GC22" s="204"/>
      <c r="GD22" s="204"/>
      <c r="GE22" s="204"/>
      <c r="GF22" s="204"/>
      <c r="GG22" s="204"/>
      <c r="GH22" s="204"/>
      <c r="GI22" s="204"/>
      <c r="GJ22" s="204"/>
      <c r="GK22" s="204"/>
      <c r="GL22" s="204"/>
      <c r="GM22" s="204"/>
      <c r="GN22" s="204"/>
      <c r="GO22" s="204"/>
      <c r="GP22" s="204"/>
      <c r="GQ22" s="204"/>
      <c r="GR22" s="204"/>
      <c r="GS22" s="204"/>
      <c r="GT22" s="204"/>
      <c r="GU22" s="204"/>
      <c r="GV22" s="204"/>
      <c r="GW22" s="204"/>
      <c r="GX22" s="204"/>
      <c r="GY22" s="204"/>
      <c r="GZ22" s="204"/>
      <c r="HA22" s="204"/>
      <c r="HB22" s="204"/>
      <c r="HC22" s="204"/>
      <c r="HD22" s="204"/>
      <c r="HE22" s="204"/>
      <c r="HF22" s="204"/>
      <c r="HG22" s="204"/>
      <c r="HH22" s="204"/>
      <c r="HI22" s="204"/>
      <c r="HJ22" s="204"/>
      <c r="HK22" s="204"/>
      <c r="HL22" s="204"/>
      <c r="HM22" s="204"/>
      <c r="HN22" s="204"/>
      <c r="HO22" s="204"/>
      <c r="HP22" s="204"/>
      <c r="HQ22" s="204"/>
      <c r="HR22" s="204"/>
      <c r="HS22" s="204"/>
      <c r="HT22" s="204"/>
      <c r="HU22" s="204"/>
      <c r="HV22" s="204"/>
      <c r="HW22" s="204"/>
      <c r="HX22" s="204"/>
      <c r="HY22" s="204"/>
      <c r="HZ22" s="204"/>
      <c r="IA22" s="204"/>
      <c r="IB22" s="204"/>
      <c r="IC22" s="204"/>
      <c r="ID22" s="204"/>
      <c r="IE22" s="204"/>
      <c r="IF22" s="204"/>
      <c r="IG22" s="204"/>
      <c r="IH22" s="204"/>
      <c r="II22" s="204"/>
      <c r="IJ22" s="204"/>
      <c r="IK22" s="204"/>
      <c r="IL22" s="204"/>
      <c r="IM22" s="204"/>
      <c r="IN22" s="204"/>
      <c r="IO22" s="204"/>
      <c r="IP22" s="204"/>
      <c r="IQ22" s="204"/>
      <c r="IR22" s="204"/>
      <c r="IS22" s="204"/>
      <c r="IT22" s="204"/>
      <c r="IU22" s="204"/>
    </row>
    <row r="23" spans="1:255" x14ac:dyDescent="0.25">
      <c r="A23" s="205"/>
      <c r="B23" s="205"/>
      <c r="C23" s="205" t="s">
        <v>190</v>
      </c>
      <c r="D23" s="205"/>
      <c r="E23" s="208">
        <f>Resultater!H80</f>
        <v>-2841.125</v>
      </c>
      <c r="F23" s="214"/>
      <c r="G23" s="320">
        <f>E23*(1+Indtast!J124)</f>
        <v>-2983.1812500000001</v>
      </c>
      <c r="H23" s="214"/>
      <c r="I23" s="320">
        <f>G23*(1+Indtast!J124)</f>
        <v>-3132.3403125000004</v>
      </c>
      <c r="J23" s="320">
        <f>I23*(1+Indtast!J124)</f>
        <v>-3288.9573281250005</v>
      </c>
      <c r="K23" s="205"/>
      <c r="L23" s="203"/>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4"/>
      <c r="BW23" s="204"/>
      <c r="BX23" s="204"/>
      <c r="BY23" s="204"/>
      <c r="BZ23" s="204"/>
      <c r="CA23" s="204"/>
      <c r="CB23" s="204"/>
      <c r="CC23" s="204"/>
      <c r="CD23" s="204"/>
      <c r="CE23" s="204"/>
      <c r="CF23" s="204"/>
      <c r="CG23" s="204"/>
      <c r="CH23" s="204"/>
      <c r="CI23" s="204"/>
      <c r="CJ23" s="204"/>
      <c r="CK23" s="204"/>
      <c r="CL23" s="204"/>
      <c r="CM23" s="204"/>
      <c r="CN23" s="204"/>
      <c r="CO23" s="204"/>
      <c r="CP23" s="204"/>
      <c r="CQ23" s="204"/>
      <c r="CR23" s="204"/>
      <c r="CS23" s="204"/>
      <c r="CT23" s="204"/>
      <c r="CU23" s="204"/>
      <c r="CV23" s="204"/>
      <c r="CW23" s="204"/>
      <c r="CX23" s="204"/>
      <c r="CY23" s="204"/>
      <c r="CZ23" s="204"/>
      <c r="DA23" s="204"/>
      <c r="DB23" s="204"/>
      <c r="DC23" s="204"/>
      <c r="DD23" s="204"/>
      <c r="DE23" s="204"/>
      <c r="DF23" s="204"/>
      <c r="DG23" s="204"/>
      <c r="DH23" s="204"/>
      <c r="DI23" s="204"/>
      <c r="DJ23" s="204"/>
      <c r="DK23" s="204"/>
      <c r="DL23" s="204"/>
      <c r="DM23" s="204"/>
      <c r="DN23" s="204"/>
      <c r="DO23" s="204"/>
      <c r="DP23" s="204"/>
      <c r="DQ23" s="204"/>
      <c r="DR23" s="204"/>
      <c r="DS23" s="204"/>
      <c r="DT23" s="204"/>
      <c r="DU23" s="204"/>
      <c r="DV23" s="204"/>
      <c r="DW23" s="204"/>
      <c r="DX23" s="204"/>
      <c r="DY23" s="204"/>
      <c r="DZ23" s="204"/>
      <c r="EA23" s="204"/>
      <c r="EB23" s="204"/>
      <c r="EC23" s="204"/>
      <c r="ED23" s="204"/>
      <c r="EE23" s="204"/>
      <c r="EF23" s="204"/>
      <c r="EG23" s="204"/>
      <c r="EH23" s="204"/>
      <c r="EI23" s="204"/>
      <c r="EJ23" s="204"/>
      <c r="EK23" s="204"/>
      <c r="EL23" s="204"/>
      <c r="EM23" s="204"/>
      <c r="EN23" s="204"/>
      <c r="EO23" s="204"/>
      <c r="EP23" s="204"/>
      <c r="EQ23" s="204"/>
      <c r="ER23" s="204"/>
      <c r="ES23" s="204"/>
      <c r="ET23" s="204"/>
      <c r="EU23" s="204"/>
      <c r="EV23" s="204"/>
      <c r="EW23" s="204"/>
      <c r="EX23" s="204"/>
      <c r="EY23" s="204"/>
      <c r="EZ23" s="204"/>
      <c r="FA23" s="204"/>
      <c r="FB23" s="204"/>
      <c r="FC23" s="204"/>
      <c r="FD23" s="204"/>
      <c r="FE23" s="204"/>
      <c r="FF23" s="204"/>
      <c r="FG23" s="204"/>
      <c r="FH23" s="204"/>
      <c r="FI23" s="204"/>
      <c r="FJ23" s="204"/>
      <c r="FK23" s="204"/>
      <c r="FL23" s="204"/>
      <c r="FM23" s="204"/>
      <c r="FN23" s="204"/>
      <c r="FO23" s="204"/>
      <c r="FP23" s="204"/>
      <c r="FQ23" s="204"/>
      <c r="FR23" s="204"/>
      <c r="FS23" s="204"/>
      <c r="FT23" s="204"/>
      <c r="FU23" s="204"/>
      <c r="FV23" s="204"/>
      <c r="FW23" s="204"/>
      <c r="FX23" s="204"/>
      <c r="FY23" s="204"/>
      <c r="FZ23" s="204"/>
      <c r="GA23" s="204"/>
      <c r="GB23" s="204"/>
      <c r="GC23" s="204"/>
      <c r="GD23" s="204"/>
      <c r="GE23" s="204"/>
      <c r="GF23" s="204"/>
      <c r="GG23" s="204"/>
      <c r="GH23" s="204"/>
      <c r="GI23" s="204"/>
      <c r="GJ23" s="204"/>
      <c r="GK23" s="204"/>
      <c r="GL23" s="204"/>
      <c r="GM23" s="204"/>
      <c r="GN23" s="204"/>
      <c r="GO23" s="204"/>
      <c r="GP23" s="204"/>
      <c r="GQ23" s="204"/>
      <c r="GR23" s="204"/>
      <c r="GS23" s="204"/>
      <c r="GT23" s="204"/>
      <c r="GU23" s="204"/>
      <c r="GV23" s="204"/>
      <c r="GW23" s="204"/>
      <c r="GX23" s="204"/>
      <c r="GY23" s="204"/>
      <c r="GZ23" s="204"/>
      <c r="HA23" s="204"/>
      <c r="HB23" s="204"/>
      <c r="HC23" s="204"/>
      <c r="HD23" s="204"/>
      <c r="HE23" s="204"/>
      <c r="HF23" s="204"/>
      <c r="HG23" s="204"/>
      <c r="HH23" s="204"/>
      <c r="HI23" s="204"/>
      <c r="HJ23" s="204"/>
      <c r="HK23" s="204"/>
      <c r="HL23" s="204"/>
      <c r="HM23" s="204"/>
      <c r="HN23" s="204"/>
      <c r="HO23" s="204"/>
      <c r="HP23" s="204"/>
      <c r="HQ23" s="204"/>
      <c r="HR23" s="204"/>
      <c r="HS23" s="204"/>
      <c r="HT23" s="204"/>
      <c r="HU23" s="204"/>
      <c r="HV23" s="204"/>
      <c r="HW23" s="204"/>
      <c r="HX23" s="204"/>
      <c r="HY23" s="204"/>
      <c r="HZ23" s="204"/>
      <c r="IA23" s="204"/>
      <c r="IB23" s="204"/>
      <c r="IC23" s="204"/>
      <c r="ID23" s="204"/>
      <c r="IE23" s="204"/>
      <c r="IF23" s="204"/>
      <c r="IG23" s="204"/>
      <c r="IH23" s="204"/>
      <c r="II23" s="204"/>
      <c r="IJ23" s="204"/>
      <c r="IK23" s="204"/>
      <c r="IL23" s="204"/>
      <c r="IM23" s="204"/>
      <c r="IN23" s="204"/>
      <c r="IO23" s="204"/>
      <c r="IP23" s="204"/>
      <c r="IQ23" s="204"/>
      <c r="IR23" s="204"/>
      <c r="IS23" s="204"/>
      <c r="IT23" s="204"/>
      <c r="IU23" s="204"/>
    </row>
    <row r="24" spans="1:255" x14ac:dyDescent="0.25">
      <c r="A24" s="205"/>
      <c r="B24" s="205"/>
      <c r="C24" s="177" t="s">
        <v>191</v>
      </c>
      <c r="D24" s="177"/>
      <c r="E24" s="311">
        <f>Resultater!H81</f>
        <v>-220</v>
      </c>
      <c r="F24" s="312"/>
      <c r="G24" s="324">
        <f>E24</f>
        <v>-220</v>
      </c>
      <c r="H24" s="312"/>
      <c r="I24" s="324">
        <f>G24</f>
        <v>-220</v>
      </c>
      <c r="J24" s="324">
        <f>I24</f>
        <v>-220</v>
      </c>
      <c r="K24" s="205"/>
      <c r="L24" s="203"/>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c r="BX24" s="204"/>
      <c r="BY24" s="204"/>
      <c r="BZ24" s="204"/>
      <c r="CA24" s="204"/>
      <c r="CB24" s="204"/>
      <c r="CC24" s="204"/>
      <c r="CD24" s="204"/>
      <c r="CE24" s="204"/>
      <c r="CF24" s="204"/>
      <c r="CG24" s="204"/>
      <c r="CH24" s="204"/>
      <c r="CI24" s="204"/>
      <c r="CJ24" s="204"/>
      <c r="CK24" s="204"/>
      <c r="CL24" s="204"/>
      <c r="CM24" s="204"/>
      <c r="CN24" s="204"/>
      <c r="CO24" s="204"/>
      <c r="CP24" s="204"/>
      <c r="CQ24" s="204"/>
      <c r="CR24" s="204"/>
      <c r="CS24" s="204"/>
      <c r="CT24" s="204"/>
      <c r="CU24" s="204"/>
      <c r="CV24" s="204"/>
      <c r="CW24" s="204"/>
      <c r="CX24" s="204"/>
      <c r="CY24" s="204"/>
      <c r="CZ24" s="204"/>
      <c r="DA24" s="204"/>
      <c r="DB24" s="204"/>
      <c r="DC24" s="204"/>
      <c r="DD24" s="204"/>
      <c r="DE24" s="204"/>
      <c r="DF24" s="204"/>
      <c r="DG24" s="204"/>
      <c r="DH24" s="204"/>
      <c r="DI24" s="204"/>
      <c r="DJ24" s="204"/>
      <c r="DK24" s="204"/>
      <c r="DL24" s="204"/>
      <c r="DM24" s="204"/>
      <c r="DN24" s="204"/>
      <c r="DO24" s="204"/>
      <c r="DP24" s="204"/>
      <c r="DQ24" s="204"/>
      <c r="DR24" s="204"/>
      <c r="DS24" s="204"/>
      <c r="DT24" s="204"/>
      <c r="DU24" s="204"/>
      <c r="DV24" s="204"/>
      <c r="DW24" s="204"/>
      <c r="DX24" s="204"/>
      <c r="DY24" s="204"/>
      <c r="DZ24" s="204"/>
      <c r="EA24" s="204"/>
      <c r="EB24" s="204"/>
      <c r="EC24" s="204"/>
      <c r="ED24" s="204"/>
      <c r="EE24" s="204"/>
      <c r="EF24" s="204"/>
      <c r="EG24" s="204"/>
      <c r="EH24" s="204"/>
      <c r="EI24" s="204"/>
      <c r="EJ24" s="204"/>
      <c r="EK24" s="204"/>
      <c r="EL24" s="204"/>
      <c r="EM24" s="204"/>
      <c r="EN24" s="204"/>
      <c r="EO24" s="204"/>
      <c r="EP24" s="204"/>
      <c r="EQ24" s="204"/>
      <c r="ER24" s="204"/>
      <c r="ES24" s="204"/>
      <c r="ET24" s="204"/>
      <c r="EU24" s="204"/>
      <c r="EV24" s="204"/>
      <c r="EW24" s="204"/>
      <c r="EX24" s="204"/>
      <c r="EY24" s="204"/>
      <c r="EZ24" s="204"/>
      <c r="FA24" s="204"/>
      <c r="FB24" s="204"/>
      <c r="FC24" s="204"/>
      <c r="FD24" s="204"/>
      <c r="FE24" s="204"/>
      <c r="FF24" s="204"/>
      <c r="FG24" s="204"/>
      <c r="FH24" s="204"/>
      <c r="FI24" s="204"/>
      <c r="FJ24" s="204"/>
      <c r="FK24" s="204"/>
      <c r="FL24" s="204"/>
      <c r="FM24" s="204"/>
      <c r="FN24" s="204"/>
      <c r="FO24" s="204"/>
      <c r="FP24" s="204"/>
      <c r="FQ24" s="204"/>
      <c r="FR24" s="204"/>
      <c r="FS24" s="204"/>
      <c r="FT24" s="204"/>
      <c r="FU24" s="204"/>
      <c r="FV24" s="204"/>
      <c r="FW24" s="204"/>
      <c r="FX24" s="204"/>
      <c r="FY24" s="204"/>
      <c r="FZ24" s="204"/>
      <c r="GA24" s="204"/>
      <c r="GB24" s="204"/>
      <c r="GC24" s="204"/>
      <c r="GD24" s="204"/>
      <c r="GE24" s="204"/>
      <c r="GF24" s="204"/>
      <c r="GG24" s="204"/>
      <c r="GH24" s="204"/>
      <c r="GI24" s="204"/>
      <c r="GJ24" s="204"/>
      <c r="GK24" s="204"/>
      <c r="GL24" s="204"/>
      <c r="GM24" s="204"/>
      <c r="GN24" s="204"/>
      <c r="GO24" s="204"/>
      <c r="GP24" s="204"/>
      <c r="GQ24" s="204"/>
      <c r="GR24" s="204"/>
      <c r="GS24" s="204"/>
      <c r="GT24" s="204"/>
      <c r="GU24" s="204"/>
      <c r="GV24" s="204"/>
      <c r="GW24" s="204"/>
      <c r="GX24" s="204"/>
      <c r="GY24" s="204"/>
      <c r="GZ24" s="204"/>
      <c r="HA24" s="204"/>
      <c r="HB24" s="204"/>
      <c r="HC24" s="204"/>
      <c r="HD24" s="204"/>
      <c r="HE24" s="204"/>
      <c r="HF24" s="204"/>
      <c r="HG24" s="204"/>
      <c r="HH24" s="204"/>
      <c r="HI24" s="204"/>
      <c r="HJ24" s="204"/>
      <c r="HK24" s="204"/>
      <c r="HL24" s="204"/>
      <c r="HM24" s="204"/>
      <c r="HN24" s="204"/>
      <c r="HO24" s="204"/>
      <c r="HP24" s="204"/>
      <c r="HQ24" s="204"/>
      <c r="HR24" s="204"/>
      <c r="HS24" s="204"/>
      <c r="HT24" s="204"/>
      <c r="HU24" s="204"/>
      <c r="HV24" s="204"/>
      <c r="HW24" s="204"/>
      <c r="HX24" s="204"/>
      <c r="HY24" s="204"/>
      <c r="HZ24" s="204"/>
      <c r="IA24" s="204"/>
      <c r="IB24" s="204"/>
      <c r="IC24" s="204"/>
      <c r="ID24" s="204"/>
      <c r="IE24" s="204"/>
      <c r="IF24" s="204"/>
      <c r="IG24" s="204"/>
      <c r="IH24" s="204"/>
      <c r="II24" s="204"/>
      <c r="IJ24" s="204"/>
      <c r="IK24" s="204"/>
      <c r="IL24" s="204"/>
      <c r="IM24" s="204"/>
      <c r="IN24" s="204"/>
      <c r="IO24" s="204"/>
      <c r="IP24" s="204"/>
      <c r="IQ24" s="204"/>
      <c r="IR24" s="204"/>
      <c r="IS24" s="204"/>
      <c r="IT24" s="204"/>
      <c r="IU24" s="204"/>
    </row>
    <row r="25" spans="1:255" x14ac:dyDescent="0.25">
      <c r="B25" s="213" t="s">
        <v>192</v>
      </c>
      <c r="C25" s="212"/>
      <c r="D25" s="212"/>
      <c r="E25" s="213">
        <f>SUM(E21:E24)</f>
        <v>-4408.625</v>
      </c>
      <c r="F25" s="213"/>
      <c r="G25" s="325">
        <f>SUM(G21:G24)</f>
        <v>-4550.6812499999996</v>
      </c>
      <c r="H25" s="213"/>
      <c r="I25" s="325">
        <f>SUM(I21:I24)</f>
        <v>-4699.8403125000004</v>
      </c>
      <c r="J25" s="325">
        <f>SUM(J21:J24)</f>
        <v>-4856.4573281250005</v>
      </c>
      <c r="K25" s="209"/>
      <c r="L25" s="201"/>
    </row>
    <row r="26" spans="1:255" x14ac:dyDescent="0.25">
      <c r="B26" s="209"/>
      <c r="C26" s="209"/>
      <c r="D26" s="209"/>
      <c r="E26" s="209"/>
      <c r="F26" s="209"/>
      <c r="G26" s="321"/>
      <c r="H26" s="209"/>
      <c r="I26" s="321"/>
      <c r="J26" s="321"/>
      <c r="K26" s="209"/>
      <c r="L26" s="201"/>
    </row>
    <row r="27" spans="1:255" x14ac:dyDescent="0.25">
      <c r="B27" s="209"/>
      <c r="C27" s="209" t="s">
        <v>40</v>
      </c>
      <c r="D27" s="209"/>
      <c r="E27" s="215">
        <f>Resultater!H83</f>
        <v>-1881.25</v>
      </c>
      <c r="F27" s="216"/>
      <c r="G27" s="326">
        <f>E27</f>
        <v>-1881.25</v>
      </c>
      <c r="H27" s="216"/>
      <c r="I27" s="326">
        <f>G27</f>
        <v>-1881.25</v>
      </c>
      <c r="J27" s="326">
        <f>I27</f>
        <v>-1881.25</v>
      </c>
      <c r="K27" s="209"/>
      <c r="L27" s="201"/>
      <c r="O27" s="280"/>
    </row>
    <row r="28" spans="1:255" x14ac:dyDescent="0.25">
      <c r="B28" s="209"/>
      <c r="C28" s="209" t="s">
        <v>41</v>
      </c>
      <c r="D28" s="209"/>
      <c r="E28" s="215">
        <f>Resultater!H84</f>
        <v>-6480</v>
      </c>
      <c r="F28" s="216"/>
      <c r="G28" s="326">
        <f>Indtast!D53*(1+Indtast!J125)-Finans!F16+F42</f>
        <v>-6081.6448800615717</v>
      </c>
      <c r="H28" s="216"/>
      <c r="I28" s="326">
        <f>Indtast!D53*(1+2*Indtast!J125)-Finans!H16+H42</f>
        <v>-5644.6526594129382</v>
      </c>
      <c r="J28" s="326">
        <f>Indtast!D53*(1+3*Indtast!J125)-Finans!J16+K42</f>
        <v>-5435.4703173060625</v>
      </c>
      <c r="K28" s="209"/>
      <c r="L28" s="201"/>
      <c r="O28" s="280"/>
    </row>
    <row r="29" spans="1:255" x14ac:dyDescent="0.25">
      <c r="B29" s="209"/>
      <c r="C29" s="313" t="s">
        <v>42</v>
      </c>
      <c r="D29" s="313"/>
      <c r="E29" s="313">
        <f>Resultater!H85</f>
        <v>0</v>
      </c>
      <c r="F29" s="313"/>
      <c r="G29" s="327">
        <f>E29</f>
        <v>0</v>
      </c>
      <c r="H29" s="313"/>
      <c r="I29" s="327">
        <f>G29</f>
        <v>0</v>
      </c>
      <c r="J29" s="327">
        <f>I29</f>
        <v>0</v>
      </c>
      <c r="K29" s="209"/>
      <c r="L29" s="201"/>
    </row>
    <row r="30" spans="1:255" x14ac:dyDescent="0.25">
      <c r="B30" s="212" t="s">
        <v>193</v>
      </c>
      <c r="C30" s="212"/>
      <c r="D30" s="212"/>
      <c r="E30" s="213">
        <f>SUM(E19,E25:E29)</f>
        <v>-1207.3804</v>
      </c>
      <c r="F30" s="209"/>
      <c r="G30" s="325">
        <f>SUM(G19,G25:G29)</f>
        <v>173.92386993842865</v>
      </c>
      <c r="H30" s="209"/>
      <c r="I30" s="325">
        <f>SUM(I19,I25:I29)</f>
        <v>1474.2570280870614</v>
      </c>
      <c r="J30" s="325">
        <f>SUM(J19,J25:J29)</f>
        <v>1526.8223545689361</v>
      </c>
      <c r="K30" s="215"/>
      <c r="L30" s="201"/>
    </row>
    <row r="31" spans="1:255" x14ac:dyDescent="0.25">
      <c r="B31" s="209"/>
      <c r="C31" s="209"/>
      <c r="D31" s="209"/>
      <c r="E31" s="215"/>
      <c r="F31" s="216"/>
      <c r="G31" s="326"/>
      <c r="H31" s="216"/>
      <c r="I31" s="326"/>
      <c r="J31" s="326"/>
      <c r="K31" s="215"/>
      <c r="L31" s="201"/>
    </row>
    <row r="32" spans="1:255" x14ac:dyDescent="0.25">
      <c r="B32" s="209"/>
      <c r="C32" s="209" t="s">
        <v>195</v>
      </c>
      <c r="D32" s="209"/>
      <c r="E32" s="215">
        <f>Indtast!D55</f>
        <v>0</v>
      </c>
      <c r="F32" s="209"/>
      <c r="G32" s="321">
        <f>E32</f>
        <v>0</v>
      </c>
      <c r="H32" s="209"/>
      <c r="I32" s="321">
        <f>G32</f>
        <v>0</v>
      </c>
      <c r="J32" s="321">
        <f>I32</f>
        <v>0</v>
      </c>
      <c r="K32" s="209"/>
      <c r="L32" s="201"/>
    </row>
    <row r="33" spans="1:255" x14ac:dyDescent="0.25">
      <c r="B33" s="209"/>
      <c r="C33" s="209" t="s">
        <v>196</v>
      </c>
      <c r="D33" s="209"/>
      <c r="E33" s="215">
        <f>SUM(E30:E32)</f>
        <v>-1207.3804</v>
      </c>
      <c r="F33" s="215"/>
      <c r="G33" s="326">
        <f>SUM(G30:G32)</f>
        <v>173.92386993842865</v>
      </c>
      <c r="H33" s="215"/>
      <c r="I33" s="326">
        <f>SUM(I30:I32)</f>
        <v>1474.2570280870614</v>
      </c>
      <c r="J33" s="326">
        <f>SUM(J30:J32)</f>
        <v>1526.8223545689361</v>
      </c>
      <c r="K33" s="209"/>
      <c r="L33" s="201"/>
    </row>
    <row r="34" spans="1:255" x14ac:dyDescent="0.25">
      <c r="B34" s="209"/>
      <c r="C34" s="209"/>
      <c r="D34" s="209"/>
      <c r="E34" s="209"/>
      <c r="F34" s="209"/>
      <c r="G34" s="321"/>
      <c r="H34" s="209"/>
      <c r="I34" s="321"/>
      <c r="J34" s="321"/>
      <c r="K34" s="209"/>
      <c r="L34" s="201"/>
    </row>
    <row r="35" spans="1:255" x14ac:dyDescent="0.25">
      <c r="B35" s="209"/>
      <c r="C35" s="209"/>
      <c r="D35" s="209"/>
      <c r="E35" s="209"/>
      <c r="F35" s="209"/>
      <c r="G35" s="321"/>
      <c r="H35" s="209"/>
      <c r="I35" s="321"/>
      <c r="J35" s="321"/>
      <c r="K35" s="209"/>
      <c r="L35" s="201"/>
    </row>
    <row r="36" spans="1:255" ht="18.75" x14ac:dyDescent="0.25">
      <c r="A36" s="205"/>
      <c r="B36" s="381" t="s">
        <v>197</v>
      </c>
      <c r="C36" s="382"/>
      <c r="D36" s="177"/>
      <c r="E36" s="176">
        <f>E3</f>
        <v>2023</v>
      </c>
      <c r="F36" s="176"/>
      <c r="G36" s="317">
        <f>G3</f>
        <v>2024</v>
      </c>
      <c r="H36" s="176"/>
      <c r="I36" s="317">
        <f>I3</f>
        <v>2025</v>
      </c>
      <c r="J36" s="329">
        <f>J3</f>
        <v>2026</v>
      </c>
      <c r="K36" s="223"/>
      <c r="L36" s="203"/>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4"/>
      <c r="BR36" s="204"/>
      <c r="BS36" s="204"/>
      <c r="BT36" s="204"/>
      <c r="BU36" s="204"/>
      <c r="BV36" s="204"/>
      <c r="BW36" s="204"/>
      <c r="BX36" s="204"/>
      <c r="BY36" s="204"/>
      <c r="BZ36" s="204"/>
      <c r="CA36" s="204"/>
      <c r="CB36" s="204"/>
      <c r="CC36" s="204"/>
      <c r="CD36" s="204"/>
      <c r="CE36" s="204"/>
      <c r="CF36" s="204"/>
      <c r="CG36" s="204"/>
      <c r="CH36" s="204"/>
      <c r="CI36" s="204"/>
      <c r="CJ36" s="204"/>
      <c r="CK36" s="204"/>
      <c r="CL36" s="204"/>
      <c r="CM36" s="204"/>
      <c r="CN36" s="204"/>
      <c r="CO36" s="204"/>
      <c r="CP36" s="204"/>
      <c r="CQ36" s="204"/>
      <c r="CR36" s="204"/>
      <c r="CS36" s="204"/>
      <c r="CT36" s="204"/>
      <c r="CU36" s="204"/>
      <c r="CV36" s="204"/>
      <c r="CW36" s="204"/>
      <c r="CX36" s="204"/>
      <c r="CY36" s="204"/>
      <c r="CZ36" s="204"/>
      <c r="DA36" s="204"/>
      <c r="DB36" s="204"/>
      <c r="DC36" s="204"/>
      <c r="DD36" s="204"/>
      <c r="DE36" s="204"/>
      <c r="DF36" s="204"/>
      <c r="DG36" s="204"/>
      <c r="DH36" s="204"/>
      <c r="DI36" s="204"/>
      <c r="DJ36" s="204"/>
      <c r="DK36" s="204"/>
      <c r="DL36" s="204"/>
      <c r="DM36" s="204"/>
      <c r="DN36" s="204"/>
      <c r="DO36" s="204"/>
      <c r="DP36" s="204"/>
      <c r="DQ36" s="204"/>
      <c r="DR36" s="204"/>
      <c r="DS36" s="204"/>
      <c r="DT36" s="204"/>
      <c r="DU36" s="204"/>
      <c r="DV36" s="204"/>
      <c r="DW36" s="204"/>
      <c r="DX36" s="204"/>
      <c r="DY36" s="204"/>
      <c r="DZ36" s="204"/>
      <c r="EA36" s="204"/>
      <c r="EB36" s="204"/>
      <c r="EC36" s="204"/>
      <c r="ED36" s="204"/>
      <c r="EE36" s="204"/>
      <c r="EF36" s="204"/>
      <c r="EG36" s="204"/>
      <c r="EH36" s="204"/>
      <c r="EI36" s="204"/>
      <c r="EJ36" s="204"/>
      <c r="EK36" s="204"/>
      <c r="EL36" s="204"/>
      <c r="EM36" s="204"/>
      <c r="EN36" s="204"/>
      <c r="EO36" s="204"/>
      <c r="EP36" s="204"/>
      <c r="EQ36" s="204"/>
      <c r="ER36" s="204"/>
      <c r="ES36" s="204"/>
      <c r="ET36" s="204"/>
      <c r="EU36" s="204"/>
      <c r="EV36" s="204"/>
      <c r="EW36" s="204"/>
      <c r="EX36" s="204"/>
      <c r="EY36" s="204"/>
      <c r="EZ36" s="204"/>
      <c r="FA36" s="204"/>
      <c r="FB36" s="204"/>
      <c r="FC36" s="204"/>
      <c r="FD36" s="204"/>
      <c r="FE36" s="204"/>
      <c r="FF36" s="204"/>
      <c r="FG36" s="204"/>
      <c r="FH36" s="204"/>
      <c r="FI36" s="204"/>
      <c r="FJ36" s="204"/>
      <c r="FK36" s="204"/>
      <c r="FL36" s="204"/>
      <c r="FM36" s="204"/>
      <c r="FN36" s="204"/>
      <c r="FO36" s="204"/>
      <c r="FP36" s="204"/>
      <c r="FQ36" s="204"/>
      <c r="FR36" s="204"/>
      <c r="FS36" s="204"/>
      <c r="FT36" s="204"/>
      <c r="FU36" s="204"/>
      <c r="FV36" s="204"/>
      <c r="FW36" s="204"/>
      <c r="FX36" s="204"/>
      <c r="FY36" s="204"/>
      <c r="FZ36" s="204"/>
      <c r="GA36" s="204"/>
      <c r="GB36" s="204"/>
      <c r="GC36" s="204"/>
      <c r="GD36" s="204"/>
      <c r="GE36" s="204"/>
      <c r="GF36" s="204"/>
      <c r="GG36" s="204"/>
      <c r="GH36" s="204"/>
      <c r="GI36" s="204"/>
      <c r="GJ36" s="204"/>
      <c r="GK36" s="204"/>
      <c r="GL36" s="204"/>
      <c r="GM36" s="204"/>
      <c r="GN36" s="204"/>
      <c r="GO36" s="204"/>
      <c r="GP36" s="204"/>
      <c r="GQ36" s="204"/>
      <c r="GR36" s="204"/>
      <c r="GS36" s="204"/>
      <c r="GT36" s="204"/>
      <c r="GU36" s="204"/>
      <c r="GV36" s="204"/>
      <c r="GW36" s="204"/>
      <c r="GX36" s="204"/>
      <c r="GY36" s="204"/>
      <c r="GZ36" s="204"/>
      <c r="HA36" s="204"/>
      <c r="HB36" s="204"/>
      <c r="HC36" s="204"/>
      <c r="HD36" s="204"/>
      <c r="HE36" s="204"/>
      <c r="HF36" s="204"/>
      <c r="HG36" s="204"/>
      <c r="HH36" s="204"/>
      <c r="HI36" s="204"/>
      <c r="HJ36" s="204"/>
      <c r="HK36" s="204"/>
      <c r="HL36" s="204"/>
      <c r="HM36" s="204"/>
      <c r="HN36" s="204"/>
      <c r="HO36" s="204"/>
      <c r="HP36" s="204"/>
      <c r="HQ36" s="204"/>
      <c r="HR36" s="204"/>
      <c r="HS36" s="204"/>
      <c r="HT36" s="204"/>
      <c r="HU36" s="204"/>
      <c r="HV36" s="204"/>
      <c r="HW36" s="204"/>
      <c r="HX36" s="204"/>
      <c r="HY36" s="204"/>
      <c r="HZ36" s="204"/>
      <c r="IA36" s="204"/>
      <c r="IB36" s="204"/>
      <c r="IC36" s="204"/>
      <c r="ID36" s="204"/>
      <c r="IE36" s="204"/>
      <c r="IF36" s="204"/>
      <c r="IG36" s="204"/>
      <c r="IH36" s="204"/>
      <c r="II36" s="204"/>
      <c r="IJ36" s="204"/>
      <c r="IK36" s="204"/>
      <c r="IL36" s="204"/>
      <c r="IM36" s="204"/>
      <c r="IN36" s="204"/>
      <c r="IO36" s="204"/>
      <c r="IP36" s="204"/>
      <c r="IQ36" s="204"/>
      <c r="IR36" s="204"/>
      <c r="IS36" s="204"/>
      <c r="IT36" s="204"/>
      <c r="IU36" s="204"/>
    </row>
    <row r="37" spans="1:255" x14ac:dyDescent="0.25">
      <c r="A37" s="205"/>
      <c r="B37" s="205"/>
      <c r="C37" s="205"/>
      <c r="D37" s="205"/>
      <c r="E37" s="211" t="s">
        <v>185</v>
      </c>
      <c r="F37" s="214"/>
      <c r="G37" s="323"/>
      <c r="H37" s="214"/>
      <c r="I37" s="323"/>
      <c r="J37" s="323"/>
      <c r="K37" s="205"/>
      <c r="L37" s="203"/>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4"/>
      <c r="BR37" s="204"/>
      <c r="BS37" s="204"/>
      <c r="BT37" s="204"/>
      <c r="BU37" s="204"/>
      <c r="BV37" s="204"/>
      <c r="BW37" s="204"/>
      <c r="BX37" s="204"/>
      <c r="BY37" s="204"/>
      <c r="BZ37" s="204"/>
      <c r="CA37" s="204"/>
      <c r="CB37" s="204"/>
      <c r="CC37" s="204"/>
      <c r="CD37" s="204"/>
      <c r="CE37" s="204"/>
      <c r="CF37" s="204"/>
      <c r="CG37" s="204"/>
      <c r="CH37" s="204"/>
      <c r="CI37" s="204"/>
      <c r="CJ37" s="204"/>
      <c r="CK37" s="204"/>
      <c r="CL37" s="204"/>
      <c r="CM37" s="204"/>
      <c r="CN37" s="204"/>
      <c r="CO37" s="204"/>
      <c r="CP37" s="204"/>
      <c r="CQ37" s="204"/>
      <c r="CR37" s="204"/>
      <c r="CS37" s="204"/>
      <c r="CT37" s="204"/>
      <c r="CU37" s="204"/>
      <c r="CV37" s="204"/>
      <c r="CW37" s="204"/>
      <c r="CX37" s="204"/>
      <c r="CY37" s="204"/>
      <c r="CZ37" s="204"/>
      <c r="DA37" s="204"/>
      <c r="DB37" s="204"/>
      <c r="DC37" s="204"/>
      <c r="DD37" s="204"/>
      <c r="DE37" s="204"/>
      <c r="DF37" s="204"/>
      <c r="DG37" s="204"/>
      <c r="DH37" s="204"/>
      <c r="DI37" s="204"/>
      <c r="DJ37" s="204"/>
      <c r="DK37" s="204"/>
      <c r="DL37" s="204"/>
      <c r="DM37" s="204"/>
      <c r="DN37" s="204"/>
      <c r="DO37" s="204"/>
      <c r="DP37" s="204"/>
      <c r="DQ37" s="204"/>
      <c r="DR37" s="204"/>
      <c r="DS37" s="204"/>
      <c r="DT37" s="204"/>
      <c r="DU37" s="204"/>
      <c r="DV37" s="204"/>
      <c r="DW37" s="204"/>
      <c r="DX37" s="204"/>
      <c r="DY37" s="204"/>
      <c r="DZ37" s="204"/>
      <c r="EA37" s="204"/>
      <c r="EB37" s="204"/>
      <c r="EC37" s="204"/>
      <c r="ED37" s="204"/>
      <c r="EE37" s="204"/>
      <c r="EF37" s="204"/>
      <c r="EG37" s="204"/>
      <c r="EH37" s="204"/>
      <c r="EI37" s="204"/>
      <c r="EJ37" s="204"/>
      <c r="EK37" s="204"/>
      <c r="EL37" s="204"/>
      <c r="EM37" s="204"/>
      <c r="EN37" s="204"/>
      <c r="EO37" s="204"/>
      <c r="EP37" s="204"/>
      <c r="EQ37" s="204"/>
      <c r="ER37" s="204"/>
      <c r="ES37" s="204"/>
      <c r="ET37" s="204"/>
      <c r="EU37" s="204"/>
      <c r="EV37" s="204"/>
      <c r="EW37" s="204"/>
      <c r="EX37" s="204"/>
      <c r="EY37" s="204"/>
      <c r="EZ37" s="204"/>
      <c r="FA37" s="204"/>
      <c r="FB37" s="204"/>
      <c r="FC37" s="204"/>
      <c r="FD37" s="204"/>
      <c r="FE37" s="204"/>
      <c r="FF37" s="204"/>
      <c r="FG37" s="204"/>
      <c r="FH37" s="204"/>
      <c r="FI37" s="204"/>
      <c r="FJ37" s="204"/>
      <c r="FK37" s="204"/>
      <c r="FL37" s="204"/>
      <c r="FM37" s="204"/>
      <c r="FN37" s="204"/>
      <c r="FO37" s="204"/>
      <c r="FP37" s="204"/>
      <c r="FQ37" s="204"/>
      <c r="FR37" s="204"/>
      <c r="FS37" s="204"/>
      <c r="FT37" s="204"/>
      <c r="FU37" s="204"/>
      <c r="FV37" s="204"/>
      <c r="FW37" s="204"/>
      <c r="FX37" s="204"/>
      <c r="FY37" s="204"/>
      <c r="FZ37" s="204"/>
      <c r="GA37" s="204"/>
      <c r="GB37" s="204"/>
      <c r="GC37" s="204"/>
      <c r="GD37" s="204"/>
      <c r="GE37" s="204"/>
      <c r="GF37" s="204"/>
      <c r="GG37" s="204"/>
      <c r="GH37" s="204"/>
      <c r="GI37" s="204"/>
      <c r="GJ37" s="204"/>
      <c r="GK37" s="204"/>
      <c r="GL37" s="204"/>
      <c r="GM37" s="204"/>
      <c r="GN37" s="204"/>
      <c r="GO37" s="204"/>
      <c r="GP37" s="204"/>
      <c r="GQ37" s="204"/>
      <c r="GR37" s="204"/>
      <c r="GS37" s="204"/>
      <c r="GT37" s="204"/>
      <c r="GU37" s="204"/>
      <c r="GV37" s="204"/>
      <c r="GW37" s="204"/>
      <c r="GX37" s="204"/>
      <c r="GY37" s="204"/>
      <c r="GZ37" s="204"/>
      <c r="HA37" s="204"/>
      <c r="HB37" s="204"/>
      <c r="HC37" s="204"/>
      <c r="HD37" s="204"/>
      <c r="HE37" s="204"/>
      <c r="HF37" s="204"/>
      <c r="HG37" s="204"/>
      <c r="HH37" s="204"/>
      <c r="HI37" s="204"/>
      <c r="HJ37" s="204"/>
      <c r="HK37" s="204"/>
      <c r="HL37" s="204"/>
      <c r="HM37" s="204"/>
      <c r="HN37" s="204"/>
      <c r="HO37" s="204"/>
      <c r="HP37" s="204"/>
      <c r="HQ37" s="204"/>
      <c r="HR37" s="204"/>
      <c r="HS37" s="204"/>
      <c r="HT37" s="204"/>
      <c r="HU37" s="204"/>
      <c r="HV37" s="204"/>
      <c r="HW37" s="204"/>
      <c r="HX37" s="204"/>
      <c r="HY37" s="204"/>
      <c r="HZ37" s="204"/>
      <c r="IA37" s="204"/>
      <c r="IB37" s="204"/>
      <c r="IC37" s="204"/>
      <c r="ID37" s="204"/>
      <c r="IE37" s="204"/>
      <c r="IF37" s="204"/>
      <c r="IG37" s="204"/>
      <c r="IH37" s="204"/>
      <c r="II37" s="204"/>
      <c r="IJ37" s="204"/>
      <c r="IK37" s="204"/>
      <c r="IL37" s="204"/>
      <c r="IM37" s="204"/>
      <c r="IN37" s="204"/>
      <c r="IO37" s="204"/>
      <c r="IP37" s="204"/>
      <c r="IQ37" s="204"/>
      <c r="IR37" s="204"/>
      <c r="IS37" s="204"/>
      <c r="IT37" s="204"/>
      <c r="IU37" s="204"/>
    </row>
    <row r="38" spans="1:255" x14ac:dyDescent="0.25">
      <c r="A38" s="205"/>
      <c r="B38" s="205"/>
      <c r="C38" s="205" t="s">
        <v>198</v>
      </c>
      <c r="D38" s="205"/>
      <c r="E38" s="208">
        <f>E30-E27+E32+Indtast!$D$59</f>
        <v>673.86959999999999</v>
      </c>
      <c r="F38" s="205"/>
      <c r="G38" s="320">
        <f>G30-G27+G32+Indtast!$D$59</f>
        <v>2055.1738699384287</v>
      </c>
      <c r="H38" s="205"/>
      <c r="I38" s="320">
        <f>I30-I27+I32+Indtast!$D$59</f>
        <v>3355.5070280870614</v>
      </c>
      <c r="J38" s="320">
        <f>J30-J27+J32+Indtast!$D$59</f>
        <v>3408.0723545689361</v>
      </c>
      <c r="K38" s="205"/>
      <c r="L38" s="203"/>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4"/>
      <c r="BR38" s="204"/>
      <c r="BS38" s="204"/>
      <c r="BT38" s="204"/>
      <c r="BU38" s="204"/>
      <c r="BV38" s="204"/>
      <c r="BW38" s="204"/>
      <c r="BX38" s="204"/>
      <c r="BY38" s="204"/>
      <c r="BZ38" s="204"/>
      <c r="CA38" s="204"/>
      <c r="CB38" s="204"/>
      <c r="CC38" s="204"/>
      <c r="CD38" s="204"/>
      <c r="CE38" s="204"/>
      <c r="CF38" s="204"/>
      <c r="CG38" s="204"/>
      <c r="CH38" s="204"/>
      <c r="CI38" s="204"/>
      <c r="CJ38" s="204"/>
      <c r="CK38" s="204"/>
      <c r="CL38" s="204"/>
      <c r="CM38" s="204"/>
      <c r="CN38" s="204"/>
      <c r="CO38" s="204"/>
      <c r="CP38" s="204"/>
      <c r="CQ38" s="204"/>
      <c r="CR38" s="204"/>
      <c r="CS38" s="204"/>
      <c r="CT38" s="204"/>
      <c r="CU38" s="204"/>
      <c r="CV38" s="204"/>
      <c r="CW38" s="204"/>
      <c r="CX38" s="204"/>
      <c r="CY38" s="204"/>
      <c r="CZ38" s="204"/>
      <c r="DA38" s="204"/>
      <c r="DB38" s="204"/>
      <c r="DC38" s="204"/>
      <c r="DD38" s="204"/>
      <c r="DE38" s="204"/>
      <c r="DF38" s="204"/>
      <c r="DG38" s="204"/>
      <c r="DH38" s="204"/>
      <c r="DI38" s="204"/>
      <c r="DJ38" s="204"/>
      <c r="DK38" s="204"/>
      <c r="DL38" s="204"/>
      <c r="DM38" s="204"/>
      <c r="DN38" s="204"/>
      <c r="DO38" s="204"/>
      <c r="DP38" s="204"/>
      <c r="DQ38" s="204"/>
      <c r="DR38" s="204"/>
      <c r="DS38" s="204"/>
      <c r="DT38" s="204"/>
      <c r="DU38" s="204"/>
      <c r="DV38" s="204"/>
      <c r="DW38" s="204"/>
      <c r="DX38" s="204"/>
      <c r="DY38" s="204"/>
      <c r="DZ38" s="204"/>
      <c r="EA38" s="204"/>
      <c r="EB38" s="204"/>
      <c r="EC38" s="204"/>
      <c r="ED38" s="204"/>
      <c r="EE38" s="204"/>
      <c r="EF38" s="204"/>
      <c r="EG38" s="204"/>
      <c r="EH38" s="204"/>
      <c r="EI38" s="204"/>
      <c r="EJ38" s="204"/>
      <c r="EK38" s="204"/>
      <c r="EL38" s="204"/>
      <c r="EM38" s="204"/>
      <c r="EN38" s="204"/>
      <c r="EO38" s="204"/>
      <c r="EP38" s="204"/>
      <c r="EQ38" s="204"/>
      <c r="ER38" s="204"/>
      <c r="ES38" s="204"/>
      <c r="ET38" s="204"/>
      <c r="EU38" s="204"/>
      <c r="EV38" s="204"/>
      <c r="EW38" s="204"/>
      <c r="EX38" s="204"/>
      <c r="EY38" s="204"/>
      <c r="EZ38" s="204"/>
      <c r="FA38" s="204"/>
      <c r="FB38" s="204"/>
      <c r="FC38" s="204"/>
      <c r="FD38" s="204"/>
      <c r="FE38" s="204"/>
      <c r="FF38" s="204"/>
      <c r="FG38" s="204"/>
      <c r="FH38" s="204"/>
      <c r="FI38" s="204"/>
      <c r="FJ38" s="204"/>
      <c r="FK38" s="204"/>
      <c r="FL38" s="204"/>
      <c r="FM38" s="204"/>
      <c r="FN38" s="204"/>
      <c r="FO38" s="204"/>
      <c r="FP38" s="204"/>
      <c r="FQ38" s="204"/>
      <c r="FR38" s="204"/>
      <c r="FS38" s="204"/>
      <c r="FT38" s="204"/>
      <c r="FU38" s="204"/>
      <c r="FV38" s="204"/>
      <c r="FW38" s="204"/>
      <c r="FX38" s="204"/>
      <c r="FY38" s="204"/>
      <c r="FZ38" s="204"/>
      <c r="GA38" s="204"/>
      <c r="GB38" s="204"/>
      <c r="GC38" s="204"/>
      <c r="GD38" s="204"/>
      <c r="GE38" s="204"/>
      <c r="GF38" s="204"/>
      <c r="GG38" s="204"/>
      <c r="GH38" s="204"/>
      <c r="GI38" s="204"/>
      <c r="GJ38" s="204"/>
      <c r="GK38" s="204"/>
      <c r="GL38" s="204"/>
      <c r="GM38" s="204"/>
      <c r="GN38" s="204"/>
      <c r="GO38" s="204"/>
      <c r="GP38" s="204"/>
      <c r="GQ38" s="204"/>
      <c r="GR38" s="204"/>
      <c r="GS38" s="204"/>
      <c r="GT38" s="204"/>
      <c r="GU38" s="204"/>
      <c r="GV38" s="204"/>
      <c r="GW38" s="204"/>
      <c r="GX38" s="204"/>
      <c r="GY38" s="204"/>
      <c r="GZ38" s="204"/>
      <c r="HA38" s="204"/>
      <c r="HB38" s="204"/>
      <c r="HC38" s="204"/>
      <c r="HD38" s="204"/>
      <c r="HE38" s="204"/>
      <c r="HF38" s="204"/>
      <c r="HG38" s="204"/>
      <c r="HH38" s="204"/>
      <c r="HI38" s="204"/>
      <c r="HJ38" s="204"/>
      <c r="HK38" s="204"/>
      <c r="HL38" s="204"/>
      <c r="HM38" s="204"/>
      <c r="HN38" s="204"/>
      <c r="HO38" s="204"/>
      <c r="HP38" s="204"/>
      <c r="HQ38" s="204"/>
      <c r="HR38" s="204"/>
      <c r="HS38" s="204"/>
      <c r="HT38" s="204"/>
      <c r="HU38" s="204"/>
      <c r="HV38" s="204"/>
      <c r="HW38" s="204"/>
      <c r="HX38" s="204"/>
      <c r="HY38" s="204"/>
      <c r="HZ38" s="204"/>
      <c r="IA38" s="204"/>
      <c r="IB38" s="204"/>
      <c r="IC38" s="204"/>
      <c r="ID38" s="204"/>
      <c r="IE38" s="204"/>
      <c r="IF38" s="204"/>
      <c r="IG38" s="204"/>
      <c r="IH38" s="204"/>
      <c r="II38" s="204"/>
      <c r="IJ38" s="204"/>
      <c r="IK38" s="204"/>
      <c r="IL38" s="204"/>
      <c r="IM38" s="204"/>
      <c r="IN38" s="204"/>
      <c r="IO38" s="204"/>
      <c r="IP38" s="204"/>
      <c r="IQ38" s="204"/>
      <c r="IR38" s="204"/>
      <c r="IS38" s="204"/>
      <c r="IT38" s="204"/>
      <c r="IU38" s="204"/>
    </row>
    <row r="39" spans="1:255" x14ac:dyDescent="0.25">
      <c r="A39" s="205"/>
      <c r="B39" s="205"/>
      <c r="C39" s="205" t="s">
        <v>199</v>
      </c>
      <c r="D39" s="205"/>
      <c r="E39" s="208">
        <f>Resultater!H95</f>
        <v>-52144</v>
      </c>
      <c r="F39" s="205"/>
      <c r="G39" s="320">
        <f>Indtast!D56</f>
        <v>-1000</v>
      </c>
      <c r="H39" s="205"/>
      <c r="I39" s="320">
        <f>G39</f>
        <v>-1000</v>
      </c>
      <c r="J39" s="320">
        <f>I39</f>
        <v>-1000</v>
      </c>
      <c r="K39" s="205"/>
      <c r="L39" s="203"/>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4"/>
      <c r="BR39" s="204"/>
      <c r="BS39" s="204"/>
      <c r="BT39" s="204"/>
      <c r="BU39" s="204"/>
      <c r="BV39" s="204"/>
      <c r="BW39" s="204"/>
      <c r="BX39" s="204"/>
      <c r="BY39" s="204"/>
      <c r="BZ39" s="204"/>
      <c r="CA39" s="204"/>
      <c r="CB39" s="204"/>
      <c r="CC39" s="204"/>
      <c r="CD39" s="204"/>
      <c r="CE39" s="204"/>
      <c r="CF39" s="204"/>
      <c r="CG39" s="204"/>
      <c r="CH39" s="204"/>
      <c r="CI39" s="204"/>
      <c r="CJ39" s="204"/>
      <c r="CK39" s="204"/>
      <c r="CL39" s="204"/>
      <c r="CM39" s="204"/>
      <c r="CN39" s="204"/>
      <c r="CO39" s="204"/>
      <c r="CP39" s="204"/>
      <c r="CQ39" s="204"/>
      <c r="CR39" s="204"/>
      <c r="CS39" s="204"/>
      <c r="CT39" s="204"/>
      <c r="CU39" s="204"/>
      <c r="CV39" s="204"/>
      <c r="CW39" s="204"/>
      <c r="CX39" s="204"/>
      <c r="CY39" s="204"/>
      <c r="CZ39" s="204"/>
      <c r="DA39" s="204"/>
      <c r="DB39" s="204"/>
      <c r="DC39" s="204"/>
      <c r="DD39" s="204"/>
      <c r="DE39" s="204"/>
      <c r="DF39" s="204"/>
      <c r="DG39" s="204"/>
      <c r="DH39" s="204"/>
      <c r="DI39" s="204"/>
      <c r="DJ39" s="204"/>
      <c r="DK39" s="204"/>
      <c r="DL39" s="204"/>
      <c r="DM39" s="204"/>
      <c r="DN39" s="204"/>
      <c r="DO39" s="204"/>
      <c r="DP39" s="204"/>
      <c r="DQ39" s="204"/>
      <c r="DR39" s="204"/>
      <c r="DS39" s="204"/>
      <c r="DT39" s="204"/>
      <c r="DU39" s="204"/>
      <c r="DV39" s="204"/>
      <c r="DW39" s="204"/>
      <c r="DX39" s="204"/>
      <c r="DY39" s="204"/>
      <c r="DZ39" s="204"/>
      <c r="EA39" s="204"/>
      <c r="EB39" s="204"/>
      <c r="EC39" s="204"/>
      <c r="ED39" s="204"/>
      <c r="EE39" s="204"/>
      <c r="EF39" s="204"/>
      <c r="EG39" s="204"/>
      <c r="EH39" s="204"/>
      <c r="EI39" s="204"/>
      <c r="EJ39" s="204"/>
      <c r="EK39" s="204"/>
      <c r="EL39" s="204"/>
      <c r="EM39" s="204"/>
      <c r="EN39" s="204"/>
      <c r="EO39" s="204"/>
      <c r="EP39" s="204"/>
      <c r="EQ39" s="204"/>
      <c r="ER39" s="204"/>
      <c r="ES39" s="204"/>
      <c r="ET39" s="204"/>
      <c r="EU39" s="204"/>
      <c r="EV39" s="204"/>
      <c r="EW39" s="204"/>
      <c r="EX39" s="204"/>
      <c r="EY39" s="204"/>
      <c r="EZ39" s="204"/>
      <c r="FA39" s="204"/>
      <c r="FB39" s="204"/>
      <c r="FC39" s="204"/>
      <c r="FD39" s="204"/>
      <c r="FE39" s="204"/>
      <c r="FF39" s="204"/>
      <c r="FG39" s="204"/>
      <c r="FH39" s="204"/>
      <c r="FI39" s="204"/>
      <c r="FJ39" s="204"/>
      <c r="FK39" s="204"/>
      <c r="FL39" s="204"/>
      <c r="FM39" s="204"/>
      <c r="FN39" s="204"/>
      <c r="FO39" s="204"/>
      <c r="FP39" s="204"/>
      <c r="FQ39" s="204"/>
      <c r="FR39" s="204"/>
      <c r="FS39" s="204"/>
      <c r="FT39" s="204"/>
      <c r="FU39" s="204"/>
      <c r="FV39" s="204"/>
      <c r="FW39" s="204"/>
      <c r="FX39" s="204"/>
      <c r="FY39" s="204"/>
      <c r="FZ39" s="204"/>
      <c r="GA39" s="204"/>
      <c r="GB39" s="204"/>
      <c r="GC39" s="204"/>
      <c r="GD39" s="204"/>
      <c r="GE39" s="204"/>
      <c r="GF39" s="204"/>
      <c r="GG39" s="204"/>
      <c r="GH39" s="204"/>
      <c r="GI39" s="204"/>
      <c r="GJ39" s="204"/>
      <c r="GK39" s="204"/>
      <c r="GL39" s="204"/>
      <c r="GM39" s="204"/>
      <c r="GN39" s="204"/>
      <c r="GO39" s="204"/>
      <c r="GP39" s="204"/>
      <c r="GQ39" s="204"/>
      <c r="GR39" s="204"/>
      <c r="GS39" s="204"/>
      <c r="GT39" s="204"/>
      <c r="GU39" s="204"/>
      <c r="GV39" s="204"/>
      <c r="GW39" s="204"/>
      <c r="GX39" s="204"/>
      <c r="GY39" s="204"/>
      <c r="GZ39" s="204"/>
      <c r="HA39" s="204"/>
      <c r="HB39" s="204"/>
      <c r="HC39" s="204"/>
      <c r="HD39" s="204"/>
      <c r="HE39" s="204"/>
      <c r="HF39" s="204"/>
      <c r="HG39" s="204"/>
      <c r="HH39" s="204"/>
      <c r="HI39" s="204"/>
      <c r="HJ39" s="204"/>
      <c r="HK39" s="204"/>
      <c r="HL39" s="204"/>
      <c r="HM39" s="204"/>
      <c r="HN39" s="204"/>
      <c r="HO39" s="204"/>
      <c r="HP39" s="204"/>
      <c r="HQ39" s="204"/>
      <c r="HR39" s="204"/>
      <c r="HS39" s="204"/>
      <c r="HT39" s="204"/>
      <c r="HU39" s="204"/>
      <c r="HV39" s="204"/>
      <c r="HW39" s="204"/>
      <c r="HX39" s="204"/>
      <c r="HY39" s="204"/>
      <c r="HZ39" s="204"/>
      <c r="IA39" s="204"/>
      <c r="IB39" s="204"/>
      <c r="IC39" s="204"/>
      <c r="ID39" s="204"/>
      <c r="IE39" s="204"/>
      <c r="IF39" s="204"/>
      <c r="IG39" s="204"/>
      <c r="IH39" s="204"/>
      <c r="II39" s="204"/>
      <c r="IJ39" s="204"/>
      <c r="IK39" s="204"/>
      <c r="IL39" s="204"/>
      <c r="IM39" s="204"/>
      <c r="IN39" s="204"/>
      <c r="IO39" s="204"/>
      <c r="IP39" s="204"/>
      <c r="IQ39" s="204"/>
      <c r="IR39" s="204"/>
      <c r="IS39" s="204"/>
      <c r="IT39" s="204"/>
      <c r="IU39" s="204"/>
    </row>
    <row r="40" spans="1:255" x14ac:dyDescent="0.25">
      <c r="A40" s="205"/>
      <c r="B40" s="205"/>
      <c r="C40" s="205" t="s">
        <v>200</v>
      </c>
      <c r="D40" s="205"/>
      <c r="E40" s="208">
        <f>Resultater!H96</f>
        <v>71500</v>
      </c>
      <c r="F40" s="208"/>
      <c r="G40" s="320">
        <f>Indtast!$D57-(Indtast!$D53-Indtast!$D53*(1-Indtast!$J125))-Finans!G16</f>
        <v>-1713.5652433261198</v>
      </c>
      <c r="H40" s="208"/>
      <c r="I40" s="320">
        <f>Indtast!$D57-(Indtast!$D53-Indtast!$D53*(1-2*Indtast!$J125))-Finans!I16</f>
        <v>-1912.8902179976108</v>
      </c>
      <c r="J40" s="320">
        <f>Indtast!$D57-(Indtast!$D53-Indtast!$D53*(1-3*Indtast!$J125))-Finans!K16</f>
        <v>-2124.5899300096326</v>
      </c>
      <c r="K40" s="205"/>
      <c r="L40" s="203"/>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4"/>
      <c r="BR40" s="204"/>
      <c r="BS40" s="204"/>
      <c r="BT40" s="204"/>
      <c r="BU40" s="204"/>
      <c r="BV40" s="204"/>
      <c r="BW40" s="204"/>
      <c r="BX40" s="204"/>
      <c r="BY40" s="204"/>
      <c r="BZ40" s="204"/>
      <c r="CA40" s="204"/>
      <c r="CB40" s="204"/>
      <c r="CC40" s="204"/>
      <c r="CD40" s="204"/>
      <c r="CE40" s="204"/>
      <c r="CF40" s="204"/>
      <c r="CG40" s="204"/>
      <c r="CH40" s="204"/>
      <c r="CI40" s="204"/>
      <c r="CJ40" s="204"/>
      <c r="CK40" s="204"/>
      <c r="CL40" s="204"/>
      <c r="CM40" s="204"/>
      <c r="CN40" s="204"/>
      <c r="CO40" s="204"/>
      <c r="CP40" s="204"/>
      <c r="CQ40" s="204"/>
      <c r="CR40" s="204"/>
      <c r="CS40" s="204"/>
      <c r="CT40" s="204"/>
      <c r="CU40" s="204"/>
      <c r="CV40" s="204"/>
      <c r="CW40" s="204"/>
      <c r="CX40" s="204"/>
      <c r="CY40" s="204"/>
      <c r="CZ40" s="204"/>
      <c r="DA40" s="204"/>
      <c r="DB40" s="204"/>
      <c r="DC40" s="204"/>
      <c r="DD40" s="204"/>
      <c r="DE40" s="204"/>
      <c r="DF40" s="204"/>
      <c r="DG40" s="204"/>
      <c r="DH40" s="204"/>
      <c r="DI40" s="204"/>
      <c r="DJ40" s="204"/>
      <c r="DK40" s="204"/>
      <c r="DL40" s="204"/>
      <c r="DM40" s="204"/>
      <c r="DN40" s="204"/>
      <c r="DO40" s="204"/>
      <c r="DP40" s="204"/>
      <c r="DQ40" s="204"/>
      <c r="DR40" s="204"/>
      <c r="DS40" s="204"/>
      <c r="DT40" s="204"/>
      <c r="DU40" s="204"/>
      <c r="DV40" s="204"/>
      <c r="DW40" s="204"/>
      <c r="DX40" s="204"/>
      <c r="DY40" s="204"/>
      <c r="DZ40" s="204"/>
      <c r="EA40" s="204"/>
      <c r="EB40" s="204"/>
      <c r="EC40" s="204"/>
      <c r="ED40" s="204"/>
      <c r="EE40" s="204"/>
      <c r="EF40" s="204"/>
      <c r="EG40" s="204"/>
      <c r="EH40" s="204"/>
      <c r="EI40" s="204"/>
      <c r="EJ40" s="204"/>
      <c r="EK40" s="204"/>
      <c r="EL40" s="204"/>
      <c r="EM40" s="204"/>
      <c r="EN40" s="204"/>
      <c r="EO40" s="204"/>
      <c r="EP40" s="204"/>
      <c r="EQ40" s="204"/>
      <c r="ER40" s="204"/>
      <c r="ES40" s="204"/>
      <c r="ET40" s="204"/>
      <c r="EU40" s="204"/>
      <c r="EV40" s="204"/>
      <c r="EW40" s="204"/>
      <c r="EX40" s="204"/>
      <c r="EY40" s="204"/>
      <c r="EZ40" s="204"/>
      <c r="FA40" s="204"/>
      <c r="FB40" s="204"/>
      <c r="FC40" s="204"/>
      <c r="FD40" s="204"/>
      <c r="FE40" s="204"/>
      <c r="FF40" s="204"/>
      <c r="FG40" s="204"/>
      <c r="FH40" s="204"/>
      <c r="FI40" s="204"/>
      <c r="FJ40" s="204"/>
      <c r="FK40" s="204"/>
      <c r="FL40" s="204"/>
      <c r="FM40" s="204"/>
      <c r="FN40" s="204"/>
      <c r="FO40" s="204"/>
      <c r="FP40" s="204"/>
      <c r="FQ40" s="204"/>
      <c r="FR40" s="204"/>
      <c r="FS40" s="204"/>
      <c r="FT40" s="204"/>
      <c r="FU40" s="204"/>
      <c r="FV40" s="204"/>
      <c r="FW40" s="204"/>
      <c r="FX40" s="204"/>
      <c r="FY40" s="204"/>
      <c r="FZ40" s="204"/>
      <c r="GA40" s="204"/>
      <c r="GB40" s="204"/>
      <c r="GC40" s="204"/>
      <c r="GD40" s="204"/>
      <c r="GE40" s="204"/>
      <c r="GF40" s="204"/>
      <c r="GG40" s="204"/>
      <c r="GH40" s="204"/>
      <c r="GI40" s="204"/>
      <c r="GJ40" s="204"/>
      <c r="GK40" s="204"/>
      <c r="GL40" s="204"/>
      <c r="GM40" s="204"/>
      <c r="GN40" s="204"/>
      <c r="GO40" s="204"/>
      <c r="GP40" s="204"/>
      <c r="GQ40" s="204"/>
      <c r="GR40" s="204"/>
      <c r="GS40" s="204"/>
      <c r="GT40" s="204"/>
      <c r="GU40" s="204"/>
      <c r="GV40" s="204"/>
      <c r="GW40" s="204"/>
      <c r="GX40" s="204"/>
      <c r="GY40" s="204"/>
      <c r="GZ40" s="204"/>
      <c r="HA40" s="204"/>
      <c r="HB40" s="204"/>
      <c r="HC40" s="204"/>
      <c r="HD40" s="204"/>
      <c r="HE40" s="204"/>
      <c r="HF40" s="204"/>
      <c r="HG40" s="204"/>
      <c r="HH40" s="204"/>
      <c r="HI40" s="204"/>
      <c r="HJ40" s="204"/>
      <c r="HK40" s="204"/>
      <c r="HL40" s="204"/>
      <c r="HM40" s="204"/>
      <c r="HN40" s="204"/>
      <c r="HO40" s="204"/>
      <c r="HP40" s="204"/>
      <c r="HQ40" s="204"/>
      <c r="HR40" s="204"/>
      <c r="HS40" s="204"/>
      <c r="HT40" s="204"/>
      <c r="HU40" s="204"/>
      <c r="HV40" s="204"/>
      <c r="HW40" s="204"/>
      <c r="HX40" s="204"/>
      <c r="HY40" s="204"/>
      <c r="HZ40" s="204"/>
      <c r="IA40" s="204"/>
      <c r="IB40" s="204"/>
      <c r="IC40" s="204"/>
      <c r="ID40" s="204"/>
      <c r="IE40" s="204"/>
      <c r="IF40" s="204"/>
      <c r="IG40" s="204"/>
      <c r="IH40" s="204"/>
      <c r="II40" s="204"/>
      <c r="IJ40" s="204"/>
      <c r="IK40" s="204"/>
      <c r="IL40" s="204"/>
      <c r="IM40" s="204"/>
      <c r="IN40" s="204"/>
      <c r="IO40" s="204"/>
      <c r="IP40" s="204"/>
      <c r="IQ40" s="204"/>
      <c r="IR40" s="204"/>
      <c r="IS40" s="204"/>
      <c r="IT40" s="204"/>
      <c r="IU40" s="204"/>
    </row>
    <row r="41" spans="1:255" x14ac:dyDescent="0.25">
      <c r="A41" s="205"/>
      <c r="B41" s="205"/>
      <c r="C41" s="205"/>
      <c r="D41" s="205"/>
      <c r="E41" s="208"/>
      <c r="F41" s="208"/>
      <c r="G41" s="320"/>
      <c r="H41" s="208"/>
      <c r="I41" s="320"/>
      <c r="J41" s="320"/>
      <c r="K41" s="205"/>
      <c r="L41" s="203"/>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4"/>
      <c r="BR41" s="204"/>
      <c r="BS41" s="204"/>
      <c r="BT41" s="204"/>
      <c r="BU41" s="204"/>
      <c r="BV41" s="204"/>
      <c r="BW41" s="204"/>
      <c r="BX41" s="204"/>
      <c r="BY41" s="204"/>
      <c r="BZ41" s="204"/>
      <c r="CA41" s="204"/>
      <c r="CB41" s="204"/>
      <c r="CC41" s="204"/>
      <c r="CD41" s="204"/>
      <c r="CE41" s="204"/>
      <c r="CF41" s="204"/>
      <c r="CG41" s="204"/>
      <c r="CH41" s="204"/>
      <c r="CI41" s="204"/>
      <c r="CJ41" s="204"/>
      <c r="CK41" s="204"/>
      <c r="CL41" s="204"/>
      <c r="CM41" s="204"/>
      <c r="CN41" s="204"/>
      <c r="CO41" s="204"/>
      <c r="CP41" s="204"/>
      <c r="CQ41" s="204"/>
      <c r="CR41" s="204"/>
      <c r="CS41" s="204"/>
      <c r="CT41" s="204"/>
      <c r="CU41" s="204"/>
      <c r="CV41" s="204"/>
      <c r="CW41" s="204"/>
      <c r="CX41" s="204"/>
      <c r="CY41" s="204"/>
      <c r="CZ41" s="204"/>
      <c r="DA41" s="204"/>
      <c r="DB41" s="204"/>
      <c r="DC41" s="204"/>
      <c r="DD41" s="204"/>
      <c r="DE41" s="204"/>
      <c r="DF41" s="204"/>
      <c r="DG41" s="204"/>
      <c r="DH41" s="204"/>
      <c r="DI41" s="204"/>
      <c r="DJ41" s="204"/>
      <c r="DK41" s="204"/>
      <c r="DL41" s="204"/>
      <c r="DM41" s="204"/>
      <c r="DN41" s="204"/>
      <c r="DO41" s="204"/>
      <c r="DP41" s="204"/>
      <c r="DQ41" s="204"/>
      <c r="DR41" s="204"/>
      <c r="DS41" s="204"/>
      <c r="DT41" s="204"/>
      <c r="DU41" s="204"/>
      <c r="DV41" s="204"/>
      <c r="DW41" s="204"/>
      <c r="DX41" s="204"/>
      <c r="DY41" s="204"/>
      <c r="DZ41" s="204"/>
      <c r="EA41" s="204"/>
      <c r="EB41" s="204"/>
      <c r="EC41" s="204"/>
      <c r="ED41" s="204"/>
      <c r="EE41" s="204"/>
      <c r="EF41" s="204"/>
      <c r="EG41" s="204"/>
      <c r="EH41" s="204"/>
      <c r="EI41" s="204"/>
      <c r="EJ41" s="204"/>
      <c r="EK41" s="204"/>
      <c r="EL41" s="204"/>
      <c r="EM41" s="204"/>
      <c r="EN41" s="204"/>
      <c r="EO41" s="204"/>
      <c r="EP41" s="204"/>
      <c r="EQ41" s="204"/>
      <c r="ER41" s="204"/>
      <c r="ES41" s="204"/>
      <c r="ET41" s="204"/>
      <c r="EU41" s="204"/>
      <c r="EV41" s="204"/>
      <c r="EW41" s="204"/>
      <c r="EX41" s="204"/>
      <c r="EY41" s="204"/>
      <c r="EZ41" s="204"/>
      <c r="FA41" s="204"/>
      <c r="FB41" s="204"/>
      <c r="FC41" s="204"/>
      <c r="FD41" s="204"/>
      <c r="FE41" s="204"/>
      <c r="FF41" s="204"/>
      <c r="FG41" s="204"/>
      <c r="FH41" s="204"/>
      <c r="FI41" s="204"/>
      <c r="FJ41" s="204"/>
      <c r="FK41" s="204"/>
      <c r="FL41" s="204"/>
      <c r="FM41" s="204"/>
      <c r="FN41" s="204"/>
      <c r="FO41" s="204"/>
      <c r="FP41" s="204"/>
      <c r="FQ41" s="204"/>
      <c r="FR41" s="204"/>
      <c r="FS41" s="204"/>
      <c r="FT41" s="204"/>
      <c r="FU41" s="204"/>
      <c r="FV41" s="204"/>
      <c r="FW41" s="204"/>
      <c r="FX41" s="204"/>
      <c r="FY41" s="204"/>
      <c r="FZ41" s="204"/>
      <c r="GA41" s="204"/>
      <c r="GB41" s="204"/>
      <c r="GC41" s="204"/>
      <c r="GD41" s="204"/>
      <c r="GE41" s="204"/>
      <c r="GF41" s="204"/>
      <c r="GG41" s="204"/>
      <c r="GH41" s="204"/>
      <c r="GI41" s="204"/>
      <c r="GJ41" s="204"/>
      <c r="GK41" s="204"/>
      <c r="GL41" s="204"/>
      <c r="GM41" s="204"/>
      <c r="GN41" s="204"/>
      <c r="GO41" s="204"/>
      <c r="GP41" s="204"/>
      <c r="GQ41" s="204"/>
      <c r="GR41" s="204"/>
      <c r="GS41" s="204"/>
      <c r="GT41" s="204"/>
      <c r="GU41" s="204"/>
      <c r="GV41" s="204"/>
      <c r="GW41" s="204"/>
      <c r="GX41" s="204"/>
      <c r="GY41" s="204"/>
      <c r="GZ41" s="204"/>
      <c r="HA41" s="204"/>
      <c r="HB41" s="204"/>
      <c r="HC41" s="204"/>
      <c r="HD41" s="204"/>
      <c r="HE41" s="204"/>
      <c r="HF41" s="204"/>
      <c r="HG41" s="204"/>
      <c r="HH41" s="204"/>
      <c r="HI41" s="204"/>
      <c r="HJ41" s="204"/>
      <c r="HK41" s="204"/>
      <c r="HL41" s="204"/>
      <c r="HM41" s="204"/>
      <c r="HN41" s="204"/>
      <c r="HO41" s="204"/>
      <c r="HP41" s="204"/>
      <c r="HQ41" s="204"/>
      <c r="HR41" s="204"/>
      <c r="HS41" s="204"/>
      <c r="HT41" s="204"/>
      <c r="HU41" s="204"/>
      <c r="HV41" s="204"/>
      <c r="HW41" s="204"/>
      <c r="HX41" s="204"/>
      <c r="HY41" s="204"/>
      <c r="HZ41" s="204"/>
      <c r="IA41" s="204"/>
      <c r="IB41" s="204"/>
      <c r="IC41" s="204"/>
      <c r="ID41" s="204"/>
      <c r="IE41" s="204"/>
      <c r="IF41" s="204"/>
      <c r="IG41" s="204"/>
      <c r="IH41" s="204"/>
      <c r="II41" s="204"/>
      <c r="IJ41" s="204"/>
      <c r="IK41" s="204"/>
      <c r="IL41" s="204"/>
      <c r="IM41" s="204"/>
      <c r="IN41" s="204"/>
      <c r="IO41" s="204"/>
      <c r="IP41" s="204"/>
      <c r="IQ41" s="204"/>
      <c r="IR41" s="204"/>
      <c r="IS41" s="204"/>
      <c r="IT41" s="204"/>
      <c r="IU41" s="204"/>
    </row>
    <row r="42" spans="1:255" x14ac:dyDescent="0.25">
      <c r="A42" s="205"/>
      <c r="B42" s="206" t="s">
        <v>201</v>
      </c>
      <c r="C42" s="205"/>
      <c r="D42" s="205"/>
      <c r="E42" s="207">
        <f>SUM(E38:E41)</f>
        <v>20029.869599999998</v>
      </c>
      <c r="F42" s="314">
        <f>0.5*IF(D43&lt;0,D43*Indtast!$J133/100,D43*Indtast!$J133/300)+0.5*IF(E43&lt;0,E43*Indtast!$J133/100,E43*Indtast!$J133/300)</f>
        <v>210.34847866666664</v>
      </c>
      <c r="G42" s="319">
        <f>SUM(G38:G41)</f>
        <v>-658.39137338769115</v>
      </c>
      <c r="H42" s="315">
        <f>0.5*IF(E43&lt;0,E43*Indtast!$J133/100,E43*Indtast!$J133/300)+0.5*IF(G43&lt;0,G43*Indtast!$J133/100,G43*Indtast!$J133/300)</f>
        <v>448.01572464381019</v>
      </c>
      <c r="I42" s="319">
        <f>SUM(I38:I41)</f>
        <v>442.61681008945061</v>
      </c>
      <c r="J42" s="319">
        <f>SUM(J38:J41)</f>
        <v>283.48242455930358</v>
      </c>
      <c r="K42" s="316">
        <f>0.5*IF(G43&lt;0,G43*Indtast!$J133/100,G43*Indtast!$J133/300)+0.5*IF(I43&lt;0,I43*Indtast!$J133/100,I43*Indtast!$J133/300)</f>
        <v>445.49835473866403</v>
      </c>
      <c r="L42" s="203"/>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4"/>
      <c r="BR42" s="204"/>
      <c r="BS42" s="204"/>
      <c r="BT42" s="204"/>
      <c r="BU42" s="204"/>
      <c r="BV42" s="204"/>
      <c r="BW42" s="204"/>
      <c r="BX42" s="204"/>
      <c r="BY42" s="204"/>
      <c r="BZ42" s="204"/>
      <c r="CA42" s="204"/>
      <c r="CB42" s="204"/>
      <c r="CC42" s="204"/>
      <c r="CD42" s="204"/>
      <c r="CE42" s="204"/>
      <c r="CF42" s="204"/>
      <c r="CG42" s="204"/>
      <c r="CH42" s="204"/>
      <c r="CI42" s="204"/>
      <c r="CJ42" s="204"/>
      <c r="CK42" s="204"/>
      <c r="CL42" s="204"/>
      <c r="CM42" s="204"/>
      <c r="CN42" s="204"/>
      <c r="CO42" s="204"/>
      <c r="CP42" s="204"/>
      <c r="CQ42" s="204"/>
      <c r="CR42" s="204"/>
      <c r="CS42" s="204"/>
      <c r="CT42" s="204"/>
      <c r="CU42" s="204"/>
      <c r="CV42" s="204"/>
      <c r="CW42" s="204"/>
      <c r="CX42" s="204"/>
      <c r="CY42" s="204"/>
      <c r="CZ42" s="204"/>
      <c r="DA42" s="204"/>
      <c r="DB42" s="204"/>
      <c r="DC42" s="204"/>
      <c r="DD42" s="204"/>
      <c r="DE42" s="204"/>
      <c r="DF42" s="204"/>
      <c r="DG42" s="204"/>
      <c r="DH42" s="204"/>
      <c r="DI42" s="204"/>
      <c r="DJ42" s="204"/>
      <c r="DK42" s="204"/>
      <c r="DL42" s="204"/>
      <c r="DM42" s="204"/>
      <c r="DN42" s="204"/>
      <c r="DO42" s="204"/>
      <c r="DP42" s="204"/>
      <c r="DQ42" s="204"/>
      <c r="DR42" s="204"/>
      <c r="DS42" s="204"/>
      <c r="DT42" s="204"/>
      <c r="DU42" s="204"/>
      <c r="DV42" s="204"/>
      <c r="DW42" s="204"/>
      <c r="DX42" s="204"/>
      <c r="DY42" s="204"/>
      <c r="DZ42" s="204"/>
      <c r="EA42" s="204"/>
      <c r="EB42" s="204"/>
      <c r="EC42" s="204"/>
      <c r="ED42" s="204"/>
      <c r="EE42" s="204"/>
      <c r="EF42" s="204"/>
      <c r="EG42" s="204"/>
      <c r="EH42" s="204"/>
      <c r="EI42" s="204"/>
      <c r="EJ42" s="204"/>
      <c r="EK42" s="204"/>
      <c r="EL42" s="204"/>
      <c r="EM42" s="204"/>
      <c r="EN42" s="204"/>
      <c r="EO42" s="204"/>
      <c r="EP42" s="204"/>
      <c r="EQ42" s="204"/>
      <c r="ER42" s="204"/>
      <c r="ES42" s="204"/>
      <c r="ET42" s="204"/>
      <c r="EU42" s="204"/>
      <c r="EV42" s="204"/>
      <c r="EW42" s="204"/>
      <c r="EX42" s="204"/>
      <c r="EY42" s="204"/>
      <c r="EZ42" s="204"/>
      <c r="FA42" s="204"/>
      <c r="FB42" s="204"/>
      <c r="FC42" s="204"/>
      <c r="FD42" s="204"/>
      <c r="FE42" s="204"/>
      <c r="FF42" s="204"/>
      <c r="FG42" s="204"/>
      <c r="FH42" s="204"/>
      <c r="FI42" s="204"/>
      <c r="FJ42" s="204"/>
      <c r="FK42" s="204"/>
      <c r="FL42" s="204"/>
      <c r="FM42" s="204"/>
      <c r="FN42" s="204"/>
      <c r="FO42" s="204"/>
      <c r="FP42" s="204"/>
      <c r="FQ42" s="204"/>
      <c r="FR42" s="204"/>
      <c r="FS42" s="204"/>
      <c r="FT42" s="204"/>
      <c r="FU42" s="204"/>
      <c r="FV42" s="204"/>
      <c r="FW42" s="204"/>
      <c r="FX42" s="204"/>
      <c r="FY42" s="204"/>
      <c r="FZ42" s="204"/>
      <c r="GA42" s="204"/>
      <c r="GB42" s="204"/>
      <c r="GC42" s="204"/>
      <c r="GD42" s="204"/>
      <c r="GE42" s="204"/>
      <c r="GF42" s="204"/>
      <c r="GG42" s="204"/>
      <c r="GH42" s="204"/>
      <c r="GI42" s="204"/>
      <c r="GJ42" s="204"/>
      <c r="GK42" s="204"/>
      <c r="GL42" s="204"/>
      <c r="GM42" s="204"/>
      <c r="GN42" s="204"/>
      <c r="GO42" s="204"/>
      <c r="GP42" s="204"/>
      <c r="GQ42" s="204"/>
      <c r="GR42" s="204"/>
      <c r="GS42" s="204"/>
      <c r="GT42" s="204"/>
      <c r="GU42" s="204"/>
      <c r="GV42" s="204"/>
      <c r="GW42" s="204"/>
      <c r="GX42" s="204"/>
      <c r="GY42" s="204"/>
      <c r="GZ42" s="204"/>
      <c r="HA42" s="204"/>
      <c r="HB42" s="204"/>
      <c r="HC42" s="204"/>
      <c r="HD42" s="204"/>
      <c r="HE42" s="204"/>
      <c r="HF42" s="204"/>
      <c r="HG42" s="204"/>
      <c r="HH42" s="204"/>
      <c r="HI42" s="204"/>
      <c r="HJ42" s="204"/>
      <c r="HK42" s="204"/>
      <c r="HL42" s="204"/>
      <c r="HM42" s="204"/>
      <c r="HN42" s="204"/>
      <c r="HO42" s="204"/>
      <c r="HP42" s="204"/>
      <c r="HQ42" s="204"/>
      <c r="HR42" s="204"/>
      <c r="HS42" s="204"/>
      <c r="HT42" s="204"/>
      <c r="HU42" s="204"/>
      <c r="HV42" s="204"/>
      <c r="HW42" s="204"/>
      <c r="HX42" s="204"/>
      <c r="HY42" s="204"/>
      <c r="HZ42" s="204"/>
      <c r="IA42" s="204"/>
      <c r="IB42" s="204"/>
      <c r="IC42" s="204"/>
      <c r="ID42" s="204"/>
      <c r="IE42" s="204"/>
      <c r="IF42" s="204"/>
      <c r="IG42" s="204"/>
      <c r="IH42" s="204"/>
      <c r="II42" s="204"/>
      <c r="IJ42" s="204"/>
      <c r="IK42" s="204"/>
      <c r="IL42" s="204"/>
      <c r="IM42" s="204"/>
      <c r="IN42" s="204"/>
      <c r="IO42" s="204"/>
      <c r="IP42" s="204"/>
      <c r="IQ42" s="204"/>
      <c r="IR42" s="204"/>
      <c r="IS42" s="204"/>
      <c r="IT42" s="204"/>
      <c r="IU42" s="204"/>
    </row>
    <row r="43" spans="1:255" x14ac:dyDescent="0.25">
      <c r="A43" s="205"/>
      <c r="B43" s="205"/>
      <c r="C43" s="205" t="s">
        <v>202</v>
      </c>
      <c r="D43" s="205">
        <f>Indtast!D58</f>
        <v>-500</v>
      </c>
      <c r="E43" s="208">
        <f>D43+E42</f>
        <v>19529.869599999998</v>
      </c>
      <c r="F43" s="208"/>
      <c r="G43" s="320">
        <f>E43+G42</f>
        <v>18871.478226612307</v>
      </c>
      <c r="H43" s="208"/>
      <c r="I43" s="320">
        <f>G43+I42</f>
        <v>19314.095036701758</v>
      </c>
      <c r="J43" s="320">
        <f>I43+J42</f>
        <v>19597.577461261062</v>
      </c>
      <c r="K43" s="205"/>
      <c r="L43" s="203"/>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4"/>
      <c r="BR43" s="204"/>
      <c r="BS43" s="204"/>
      <c r="BT43" s="204"/>
      <c r="BU43" s="204"/>
      <c r="BV43" s="204"/>
      <c r="BW43" s="204"/>
      <c r="BX43" s="204"/>
      <c r="BY43" s="204"/>
      <c r="BZ43" s="204"/>
      <c r="CA43" s="204"/>
      <c r="CB43" s="204"/>
      <c r="CC43" s="204"/>
      <c r="CD43" s="204"/>
      <c r="CE43" s="204"/>
      <c r="CF43" s="204"/>
      <c r="CG43" s="204"/>
      <c r="CH43" s="204"/>
      <c r="CI43" s="204"/>
      <c r="CJ43" s="204"/>
      <c r="CK43" s="204"/>
      <c r="CL43" s="204"/>
      <c r="CM43" s="204"/>
      <c r="CN43" s="204"/>
      <c r="CO43" s="204"/>
      <c r="CP43" s="204"/>
      <c r="CQ43" s="204"/>
      <c r="CR43" s="204"/>
      <c r="CS43" s="204"/>
      <c r="CT43" s="204"/>
      <c r="CU43" s="204"/>
      <c r="CV43" s="204"/>
      <c r="CW43" s="204"/>
      <c r="CX43" s="204"/>
      <c r="CY43" s="204"/>
      <c r="CZ43" s="204"/>
      <c r="DA43" s="204"/>
      <c r="DB43" s="204"/>
      <c r="DC43" s="204"/>
      <c r="DD43" s="204"/>
      <c r="DE43" s="204"/>
      <c r="DF43" s="204"/>
      <c r="DG43" s="204"/>
      <c r="DH43" s="204"/>
      <c r="DI43" s="204"/>
      <c r="DJ43" s="204"/>
      <c r="DK43" s="204"/>
      <c r="DL43" s="204"/>
      <c r="DM43" s="204"/>
      <c r="DN43" s="204"/>
      <c r="DO43" s="204"/>
      <c r="DP43" s="204"/>
      <c r="DQ43" s="204"/>
      <c r="DR43" s="204"/>
      <c r="DS43" s="204"/>
      <c r="DT43" s="204"/>
      <c r="DU43" s="204"/>
      <c r="DV43" s="204"/>
      <c r="DW43" s="204"/>
      <c r="DX43" s="204"/>
      <c r="DY43" s="204"/>
      <c r="DZ43" s="204"/>
      <c r="EA43" s="204"/>
      <c r="EB43" s="204"/>
      <c r="EC43" s="204"/>
      <c r="ED43" s="204"/>
      <c r="EE43" s="204"/>
      <c r="EF43" s="204"/>
      <c r="EG43" s="204"/>
      <c r="EH43" s="204"/>
      <c r="EI43" s="204"/>
      <c r="EJ43" s="204"/>
      <c r="EK43" s="204"/>
      <c r="EL43" s="204"/>
      <c r="EM43" s="204"/>
      <c r="EN43" s="204"/>
      <c r="EO43" s="204"/>
      <c r="EP43" s="204"/>
      <c r="EQ43" s="204"/>
      <c r="ER43" s="204"/>
      <c r="ES43" s="204"/>
      <c r="ET43" s="204"/>
      <c r="EU43" s="204"/>
      <c r="EV43" s="204"/>
      <c r="EW43" s="204"/>
      <c r="EX43" s="204"/>
      <c r="EY43" s="204"/>
      <c r="EZ43" s="204"/>
      <c r="FA43" s="204"/>
      <c r="FB43" s="204"/>
      <c r="FC43" s="204"/>
      <c r="FD43" s="204"/>
      <c r="FE43" s="204"/>
      <c r="FF43" s="204"/>
      <c r="FG43" s="204"/>
      <c r="FH43" s="204"/>
      <c r="FI43" s="204"/>
      <c r="FJ43" s="204"/>
      <c r="FK43" s="204"/>
      <c r="FL43" s="204"/>
      <c r="FM43" s="204"/>
      <c r="FN43" s="204"/>
      <c r="FO43" s="204"/>
      <c r="FP43" s="204"/>
      <c r="FQ43" s="204"/>
      <c r="FR43" s="204"/>
      <c r="FS43" s="204"/>
      <c r="FT43" s="204"/>
      <c r="FU43" s="204"/>
      <c r="FV43" s="204"/>
      <c r="FW43" s="204"/>
      <c r="FX43" s="204"/>
      <c r="FY43" s="204"/>
      <c r="FZ43" s="204"/>
      <c r="GA43" s="204"/>
      <c r="GB43" s="204"/>
      <c r="GC43" s="204"/>
      <c r="GD43" s="204"/>
      <c r="GE43" s="204"/>
      <c r="GF43" s="204"/>
      <c r="GG43" s="204"/>
      <c r="GH43" s="204"/>
      <c r="GI43" s="204"/>
      <c r="GJ43" s="204"/>
      <c r="GK43" s="204"/>
      <c r="GL43" s="204"/>
      <c r="GM43" s="204"/>
      <c r="GN43" s="204"/>
      <c r="GO43" s="204"/>
      <c r="GP43" s="204"/>
      <c r="GQ43" s="204"/>
      <c r="GR43" s="204"/>
      <c r="GS43" s="204"/>
      <c r="GT43" s="204"/>
      <c r="GU43" s="204"/>
      <c r="GV43" s="204"/>
      <c r="GW43" s="204"/>
      <c r="GX43" s="204"/>
      <c r="GY43" s="204"/>
      <c r="GZ43" s="204"/>
      <c r="HA43" s="204"/>
      <c r="HB43" s="204"/>
      <c r="HC43" s="204"/>
      <c r="HD43" s="204"/>
      <c r="HE43" s="204"/>
      <c r="HF43" s="204"/>
      <c r="HG43" s="204"/>
      <c r="HH43" s="204"/>
      <c r="HI43" s="204"/>
      <c r="HJ43" s="204"/>
      <c r="HK43" s="204"/>
      <c r="HL43" s="204"/>
      <c r="HM43" s="204"/>
      <c r="HN43" s="204"/>
      <c r="HO43" s="204"/>
      <c r="HP43" s="204"/>
      <c r="HQ43" s="204"/>
      <c r="HR43" s="204"/>
      <c r="HS43" s="204"/>
      <c r="HT43" s="204"/>
      <c r="HU43" s="204"/>
      <c r="HV43" s="204"/>
      <c r="HW43" s="204"/>
      <c r="HX43" s="204"/>
      <c r="HY43" s="204"/>
      <c r="HZ43" s="204"/>
      <c r="IA43" s="204"/>
      <c r="IB43" s="204"/>
      <c r="IC43" s="204"/>
      <c r="ID43" s="204"/>
      <c r="IE43" s="204"/>
      <c r="IF43" s="204"/>
      <c r="IG43" s="204"/>
      <c r="IH43" s="204"/>
      <c r="II43" s="204"/>
      <c r="IJ43" s="204"/>
      <c r="IK43" s="204"/>
      <c r="IL43" s="204"/>
      <c r="IM43" s="204"/>
      <c r="IN43" s="204"/>
      <c r="IO43" s="204"/>
      <c r="IP43" s="204"/>
      <c r="IQ43" s="204"/>
      <c r="IR43" s="204"/>
      <c r="IS43" s="204"/>
      <c r="IT43" s="204"/>
      <c r="IU43" s="204"/>
    </row>
    <row r="44" spans="1:255" x14ac:dyDescent="0.25">
      <c r="A44" s="205"/>
      <c r="B44" s="205"/>
      <c r="C44" s="205"/>
      <c r="D44" s="217" t="s">
        <v>203</v>
      </c>
      <c r="E44" s="208"/>
      <c r="F44" s="208"/>
      <c r="G44" s="320"/>
      <c r="H44" s="208"/>
      <c r="I44" s="320"/>
      <c r="J44" s="320"/>
      <c r="K44" s="205"/>
      <c r="L44" s="203"/>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4"/>
      <c r="BR44" s="204"/>
      <c r="BS44" s="204"/>
      <c r="BT44" s="204"/>
      <c r="BU44" s="204"/>
      <c r="BV44" s="204"/>
      <c r="BW44" s="204"/>
      <c r="BX44" s="204"/>
      <c r="BY44" s="204"/>
      <c r="BZ44" s="204"/>
      <c r="CA44" s="204"/>
      <c r="CB44" s="204"/>
      <c r="CC44" s="204"/>
      <c r="CD44" s="204"/>
      <c r="CE44" s="204"/>
      <c r="CF44" s="204"/>
      <c r="CG44" s="204"/>
      <c r="CH44" s="204"/>
      <c r="CI44" s="204"/>
      <c r="CJ44" s="204"/>
      <c r="CK44" s="204"/>
      <c r="CL44" s="204"/>
      <c r="CM44" s="204"/>
      <c r="CN44" s="204"/>
      <c r="CO44" s="204"/>
      <c r="CP44" s="204"/>
      <c r="CQ44" s="204"/>
      <c r="CR44" s="204"/>
      <c r="CS44" s="204"/>
      <c r="CT44" s="204"/>
      <c r="CU44" s="204"/>
      <c r="CV44" s="204"/>
      <c r="CW44" s="204"/>
      <c r="CX44" s="204"/>
      <c r="CY44" s="204"/>
      <c r="CZ44" s="204"/>
      <c r="DA44" s="204"/>
      <c r="DB44" s="204"/>
      <c r="DC44" s="204"/>
      <c r="DD44" s="204"/>
      <c r="DE44" s="204"/>
      <c r="DF44" s="204"/>
      <c r="DG44" s="204"/>
      <c r="DH44" s="204"/>
      <c r="DI44" s="204"/>
      <c r="DJ44" s="204"/>
      <c r="DK44" s="204"/>
      <c r="DL44" s="204"/>
      <c r="DM44" s="204"/>
      <c r="DN44" s="204"/>
      <c r="DO44" s="204"/>
      <c r="DP44" s="204"/>
      <c r="DQ44" s="204"/>
      <c r="DR44" s="204"/>
      <c r="DS44" s="204"/>
      <c r="DT44" s="204"/>
      <c r="DU44" s="204"/>
      <c r="DV44" s="204"/>
      <c r="DW44" s="204"/>
      <c r="DX44" s="204"/>
      <c r="DY44" s="204"/>
      <c r="DZ44" s="204"/>
      <c r="EA44" s="204"/>
      <c r="EB44" s="204"/>
      <c r="EC44" s="204"/>
      <c r="ED44" s="204"/>
      <c r="EE44" s="204"/>
      <c r="EF44" s="204"/>
      <c r="EG44" s="204"/>
      <c r="EH44" s="204"/>
      <c r="EI44" s="204"/>
      <c r="EJ44" s="204"/>
      <c r="EK44" s="204"/>
      <c r="EL44" s="204"/>
      <c r="EM44" s="204"/>
      <c r="EN44" s="204"/>
      <c r="EO44" s="204"/>
      <c r="EP44" s="204"/>
      <c r="EQ44" s="204"/>
      <c r="ER44" s="204"/>
      <c r="ES44" s="204"/>
      <c r="ET44" s="204"/>
      <c r="EU44" s="204"/>
      <c r="EV44" s="204"/>
      <c r="EW44" s="204"/>
      <c r="EX44" s="204"/>
      <c r="EY44" s="204"/>
      <c r="EZ44" s="204"/>
      <c r="FA44" s="204"/>
      <c r="FB44" s="204"/>
      <c r="FC44" s="204"/>
      <c r="FD44" s="204"/>
      <c r="FE44" s="204"/>
      <c r="FF44" s="204"/>
      <c r="FG44" s="204"/>
      <c r="FH44" s="204"/>
      <c r="FI44" s="204"/>
      <c r="FJ44" s="204"/>
      <c r="FK44" s="204"/>
      <c r="FL44" s="204"/>
      <c r="FM44" s="204"/>
      <c r="FN44" s="204"/>
      <c r="FO44" s="204"/>
      <c r="FP44" s="204"/>
      <c r="FQ44" s="204"/>
      <c r="FR44" s="204"/>
      <c r="FS44" s="204"/>
      <c r="FT44" s="204"/>
      <c r="FU44" s="204"/>
      <c r="FV44" s="204"/>
      <c r="FW44" s="204"/>
      <c r="FX44" s="204"/>
      <c r="FY44" s="204"/>
      <c r="FZ44" s="204"/>
      <c r="GA44" s="204"/>
      <c r="GB44" s="204"/>
      <c r="GC44" s="204"/>
      <c r="GD44" s="204"/>
      <c r="GE44" s="204"/>
      <c r="GF44" s="204"/>
      <c r="GG44" s="204"/>
      <c r="GH44" s="204"/>
      <c r="GI44" s="204"/>
      <c r="GJ44" s="204"/>
      <c r="GK44" s="204"/>
      <c r="GL44" s="204"/>
      <c r="GM44" s="204"/>
      <c r="GN44" s="204"/>
      <c r="GO44" s="204"/>
      <c r="GP44" s="204"/>
      <c r="GQ44" s="204"/>
      <c r="GR44" s="204"/>
      <c r="GS44" s="204"/>
      <c r="GT44" s="204"/>
      <c r="GU44" s="204"/>
      <c r="GV44" s="204"/>
      <c r="GW44" s="204"/>
      <c r="GX44" s="204"/>
      <c r="GY44" s="204"/>
      <c r="GZ44" s="204"/>
      <c r="HA44" s="204"/>
      <c r="HB44" s="204"/>
      <c r="HC44" s="204"/>
      <c r="HD44" s="204"/>
      <c r="HE44" s="204"/>
      <c r="HF44" s="204"/>
      <c r="HG44" s="204"/>
      <c r="HH44" s="204"/>
      <c r="HI44" s="204"/>
      <c r="HJ44" s="204"/>
      <c r="HK44" s="204"/>
      <c r="HL44" s="204"/>
      <c r="HM44" s="204"/>
      <c r="HN44" s="204"/>
      <c r="HO44" s="204"/>
      <c r="HP44" s="204"/>
      <c r="HQ44" s="204"/>
      <c r="HR44" s="204"/>
      <c r="HS44" s="204"/>
      <c r="HT44" s="204"/>
      <c r="HU44" s="204"/>
      <c r="HV44" s="204"/>
      <c r="HW44" s="204"/>
      <c r="HX44" s="204"/>
      <c r="HY44" s="204"/>
      <c r="HZ44" s="204"/>
      <c r="IA44" s="204"/>
      <c r="IB44" s="204"/>
      <c r="IC44" s="204"/>
      <c r="ID44" s="204"/>
      <c r="IE44" s="204"/>
      <c r="IF44" s="204"/>
      <c r="IG44" s="204"/>
      <c r="IH44" s="204"/>
      <c r="II44" s="204"/>
      <c r="IJ44" s="204"/>
      <c r="IK44" s="204"/>
      <c r="IL44" s="204"/>
      <c r="IM44" s="204"/>
      <c r="IN44" s="204"/>
      <c r="IO44" s="204"/>
      <c r="IP44" s="204"/>
      <c r="IQ44" s="204"/>
      <c r="IR44" s="204"/>
      <c r="IS44" s="204"/>
      <c r="IT44" s="204"/>
      <c r="IU44" s="204"/>
    </row>
    <row r="45" spans="1:255" ht="30" x14ac:dyDescent="0.25">
      <c r="A45" s="205"/>
      <c r="B45" s="206" t="s">
        <v>205</v>
      </c>
      <c r="C45" s="205"/>
      <c r="D45" s="205"/>
      <c r="E45" s="331" t="s">
        <v>167</v>
      </c>
      <c r="F45" s="331"/>
      <c r="G45" s="324"/>
      <c r="H45" s="311"/>
      <c r="I45" s="394" t="s">
        <v>280</v>
      </c>
      <c r="J45" s="320"/>
      <c r="K45" s="205"/>
      <c r="L45" s="203"/>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4"/>
      <c r="BR45" s="204"/>
      <c r="BS45" s="204"/>
      <c r="BT45" s="204"/>
      <c r="BU45" s="204"/>
      <c r="BV45" s="204"/>
      <c r="BW45" s="204"/>
      <c r="BX45" s="204"/>
      <c r="BY45" s="204"/>
      <c r="BZ45" s="204"/>
      <c r="CA45" s="204"/>
      <c r="CB45" s="204"/>
      <c r="CC45" s="204"/>
      <c r="CD45" s="204"/>
      <c r="CE45" s="204"/>
      <c r="CF45" s="204"/>
      <c r="CG45" s="204"/>
      <c r="CH45" s="204"/>
      <c r="CI45" s="204"/>
      <c r="CJ45" s="204"/>
      <c r="CK45" s="204"/>
      <c r="CL45" s="204"/>
      <c r="CM45" s="204"/>
      <c r="CN45" s="204"/>
      <c r="CO45" s="204"/>
      <c r="CP45" s="204"/>
      <c r="CQ45" s="204"/>
      <c r="CR45" s="204"/>
      <c r="CS45" s="204"/>
      <c r="CT45" s="204"/>
      <c r="CU45" s="204"/>
      <c r="CV45" s="204"/>
      <c r="CW45" s="204"/>
      <c r="CX45" s="204"/>
      <c r="CY45" s="204"/>
      <c r="CZ45" s="204"/>
      <c r="DA45" s="204"/>
      <c r="DB45" s="204"/>
      <c r="DC45" s="204"/>
      <c r="DD45" s="204"/>
      <c r="DE45" s="204"/>
      <c r="DF45" s="204"/>
      <c r="DG45" s="204"/>
      <c r="DH45" s="204"/>
      <c r="DI45" s="204"/>
      <c r="DJ45" s="204"/>
      <c r="DK45" s="204"/>
      <c r="DL45" s="204"/>
      <c r="DM45" s="204"/>
      <c r="DN45" s="204"/>
      <c r="DO45" s="204"/>
      <c r="DP45" s="204"/>
      <c r="DQ45" s="204"/>
      <c r="DR45" s="204"/>
      <c r="DS45" s="204"/>
      <c r="DT45" s="204"/>
      <c r="DU45" s="204"/>
      <c r="DV45" s="204"/>
      <c r="DW45" s="204"/>
      <c r="DX45" s="204"/>
      <c r="DY45" s="204"/>
      <c r="DZ45" s="204"/>
      <c r="EA45" s="204"/>
      <c r="EB45" s="204"/>
      <c r="EC45" s="204"/>
      <c r="ED45" s="204"/>
      <c r="EE45" s="204"/>
      <c r="EF45" s="204"/>
      <c r="EG45" s="204"/>
      <c r="EH45" s="204"/>
      <c r="EI45" s="204"/>
      <c r="EJ45" s="204"/>
      <c r="EK45" s="204"/>
      <c r="EL45" s="204"/>
      <c r="EM45" s="204"/>
      <c r="EN45" s="204"/>
      <c r="EO45" s="204"/>
      <c r="EP45" s="204"/>
      <c r="EQ45" s="204"/>
      <c r="ER45" s="204"/>
      <c r="ES45" s="204"/>
      <c r="ET45" s="204"/>
      <c r="EU45" s="204"/>
      <c r="EV45" s="204"/>
      <c r="EW45" s="204"/>
      <c r="EX45" s="204"/>
      <c r="EY45" s="204"/>
      <c r="EZ45" s="204"/>
      <c r="FA45" s="204"/>
      <c r="FB45" s="204"/>
      <c r="FC45" s="204"/>
      <c r="FD45" s="204"/>
      <c r="FE45" s="204"/>
      <c r="FF45" s="204"/>
      <c r="FG45" s="204"/>
      <c r="FH45" s="204"/>
      <c r="FI45" s="204"/>
      <c r="FJ45" s="204"/>
      <c r="FK45" s="204"/>
      <c r="FL45" s="204"/>
      <c r="FM45" s="204"/>
      <c r="FN45" s="204"/>
      <c r="FO45" s="204"/>
      <c r="FP45" s="204"/>
      <c r="FQ45" s="204"/>
      <c r="FR45" s="204"/>
      <c r="FS45" s="204"/>
      <c r="FT45" s="204"/>
      <c r="FU45" s="204"/>
      <c r="FV45" s="204"/>
      <c r="FW45" s="204"/>
      <c r="FX45" s="204"/>
      <c r="FY45" s="204"/>
      <c r="FZ45" s="204"/>
      <c r="GA45" s="204"/>
      <c r="GB45" s="204"/>
      <c r="GC45" s="204"/>
      <c r="GD45" s="204"/>
      <c r="GE45" s="204"/>
      <c r="GF45" s="204"/>
      <c r="GG45" s="204"/>
      <c r="GH45" s="204"/>
      <c r="GI45" s="204"/>
      <c r="GJ45" s="204"/>
      <c r="GK45" s="204"/>
      <c r="GL45" s="204"/>
      <c r="GM45" s="204"/>
      <c r="GN45" s="204"/>
      <c r="GO45" s="204"/>
      <c r="GP45" s="204"/>
      <c r="GQ45" s="204"/>
      <c r="GR45" s="204"/>
      <c r="GS45" s="204"/>
      <c r="GT45" s="204"/>
      <c r="GU45" s="204"/>
      <c r="GV45" s="204"/>
      <c r="GW45" s="204"/>
      <c r="GX45" s="204"/>
      <c r="GY45" s="204"/>
      <c r="GZ45" s="204"/>
      <c r="HA45" s="204"/>
      <c r="HB45" s="204"/>
      <c r="HC45" s="204"/>
      <c r="HD45" s="204"/>
      <c r="HE45" s="204"/>
      <c r="HF45" s="204"/>
      <c r="HG45" s="204"/>
      <c r="HH45" s="204"/>
      <c r="HI45" s="204"/>
      <c r="HJ45" s="204"/>
      <c r="HK45" s="204"/>
      <c r="HL45" s="204"/>
      <c r="HM45" s="204"/>
      <c r="HN45" s="204"/>
      <c r="HO45" s="204"/>
      <c r="HP45" s="204"/>
      <c r="HQ45" s="204"/>
      <c r="HR45" s="204"/>
      <c r="HS45" s="204"/>
      <c r="HT45" s="204"/>
      <c r="HU45" s="204"/>
      <c r="HV45" s="204"/>
      <c r="HW45" s="204"/>
      <c r="HX45" s="204"/>
      <c r="HY45" s="204"/>
      <c r="HZ45" s="204"/>
      <c r="IA45" s="204"/>
      <c r="IB45" s="204"/>
      <c r="IC45" s="204"/>
      <c r="ID45" s="204"/>
      <c r="IE45" s="204"/>
      <c r="IF45" s="204"/>
      <c r="IG45" s="204"/>
      <c r="IH45" s="204"/>
      <c r="II45" s="204"/>
      <c r="IJ45" s="204"/>
      <c r="IK45" s="204"/>
      <c r="IL45" s="204"/>
      <c r="IM45" s="204"/>
      <c r="IN45" s="204"/>
      <c r="IO45" s="204"/>
      <c r="IP45" s="204"/>
      <c r="IQ45" s="204"/>
      <c r="IR45" s="204"/>
      <c r="IS45" s="204"/>
      <c r="IT45" s="204"/>
      <c r="IU45" s="204"/>
    </row>
    <row r="46" spans="1:255" x14ac:dyDescent="0.25">
      <c r="A46" s="205"/>
      <c r="B46" s="205"/>
      <c r="C46" s="205" t="s">
        <v>208</v>
      </c>
      <c r="D46" s="205"/>
      <c r="E46" s="219">
        <v>0.1</v>
      </c>
      <c r="F46" s="208" t="s">
        <v>88</v>
      </c>
      <c r="G46" s="320"/>
      <c r="H46" s="208"/>
      <c r="I46" s="320">
        <f>(+Resultater!H62*Indtast!C73*E46)/1000</f>
        <v>1017</v>
      </c>
      <c r="J46" s="320"/>
      <c r="K46" s="205"/>
      <c r="L46" s="203"/>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4"/>
      <c r="BR46" s="204"/>
      <c r="BS46" s="204"/>
      <c r="BT46" s="204"/>
      <c r="BU46" s="204"/>
      <c r="BV46" s="204"/>
      <c r="BW46" s="204"/>
      <c r="BX46" s="204"/>
      <c r="BY46" s="204"/>
      <c r="BZ46" s="204"/>
      <c r="CA46" s="204"/>
      <c r="CB46" s="204"/>
      <c r="CC46" s="204"/>
      <c r="CD46" s="204"/>
      <c r="CE46" s="204"/>
      <c r="CF46" s="204"/>
      <c r="CG46" s="204"/>
      <c r="CH46" s="204"/>
      <c r="CI46" s="204"/>
      <c r="CJ46" s="204"/>
      <c r="CK46" s="204"/>
      <c r="CL46" s="204"/>
      <c r="CM46" s="204"/>
      <c r="CN46" s="204"/>
      <c r="CO46" s="204"/>
      <c r="CP46" s="204"/>
      <c r="CQ46" s="204"/>
      <c r="CR46" s="204"/>
      <c r="CS46" s="204"/>
      <c r="CT46" s="204"/>
      <c r="CU46" s="204"/>
      <c r="CV46" s="204"/>
      <c r="CW46" s="204"/>
      <c r="CX46" s="204"/>
      <c r="CY46" s="204"/>
      <c r="CZ46" s="204"/>
      <c r="DA46" s="204"/>
      <c r="DB46" s="204"/>
      <c r="DC46" s="204"/>
      <c r="DD46" s="204"/>
      <c r="DE46" s="204"/>
      <c r="DF46" s="204"/>
      <c r="DG46" s="204"/>
      <c r="DH46" s="204"/>
      <c r="DI46" s="204"/>
      <c r="DJ46" s="204"/>
      <c r="DK46" s="204"/>
      <c r="DL46" s="204"/>
      <c r="DM46" s="204"/>
      <c r="DN46" s="204"/>
      <c r="DO46" s="204"/>
      <c r="DP46" s="204"/>
      <c r="DQ46" s="204"/>
      <c r="DR46" s="204"/>
      <c r="DS46" s="204"/>
      <c r="DT46" s="204"/>
      <c r="DU46" s="204"/>
      <c r="DV46" s="204"/>
      <c r="DW46" s="204"/>
      <c r="DX46" s="204"/>
      <c r="DY46" s="204"/>
      <c r="DZ46" s="204"/>
      <c r="EA46" s="204"/>
      <c r="EB46" s="204"/>
      <c r="EC46" s="204"/>
      <c r="ED46" s="204"/>
      <c r="EE46" s="204"/>
      <c r="EF46" s="204"/>
      <c r="EG46" s="204"/>
      <c r="EH46" s="204"/>
      <c r="EI46" s="204"/>
      <c r="EJ46" s="204"/>
      <c r="EK46" s="204"/>
      <c r="EL46" s="204"/>
      <c r="EM46" s="204"/>
      <c r="EN46" s="204"/>
      <c r="EO46" s="204"/>
      <c r="EP46" s="204"/>
      <c r="EQ46" s="204"/>
      <c r="ER46" s="204"/>
      <c r="ES46" s="204"/>
      <c r="ET46" s="204"/>
      <c r="EU46" s="204"/>
      <c r="EV46" s="204"/>
      <c r="EW46" s="204"/>
      <c r="EX46" s="204"/>
      <c r="EY46" s="204"/>
      <c r="EZ46" s="204"/>
      <c r="FA46" s="204"/>
      <c r="FB46" s="204"/>
      <c r="FC46" s="204"/>
      <c r="FD46" s="204"/>
      <c r="FE46" s="204"/>
      <c r="FF46" s="204"/>
      <c r="FG46" s="204"/>
      <c r="FH46" s="204"/>
      <c r="FI46" s="204"/>
      <c r="FJ46" s="204"/>
      <c r="FK46" s="204"/>
      <c r="FL46" s="204"/>
      <c r="FM46" s="204"/>
      <c r="FN46" s="204"/>
      <c r="FO46" s="204"/>
      <c r="FP46" s="204"/>
      <c r="FQ46" s="204"/>
      <c r="FR46" s="204"/>
      <c r="FS46" s="204"/>
      <c r="FT46" s="204"/>
      <c r="FU46" s="204"/>
      <c r="FV46" s="204"/>
      <c r="FW46" s="204"/>
      <c r="FX46" s="204"/>
      <c r="FY46" s="204"/>
      <c r="FZ46" s="204"/>
      <c r="GA46" s="204"/>
      <c r="GB46" s="204"/>
      <c r="GC46" s="204"/>
      <c r="GD46" s="204"/>
      <c r="GE46" s="204"/>
      <c r="GF46" s="204"/>
      <c r="GG46" s="204"/>
      <c r="GH46" s="204"/>
      <c r="GI46" s="204"/>
      <c r="GJ46" s="204"/>
      <c r="GK46" s="204"/>
      <c r="GL46" s="204"/>
      <c r="GM46" s="204"/>
      <c r="GN46" s="204"/>
      <c r="GO46" s="204"/>
      <c r="GP46" s="204"/>
      <c r="GQ46" s="204"/>
      <c r="GR46" s="204"/>
      <c r="GS46" s="204"/>
      <c r="GT46" s="204"/>
      <c r="GU46" s="204"/>
      <c r="GV46" s="204"/>
      <c r="GW46" s="204"/>
      <c r="GX46" s="204"/>
      <c r="GY46" s="204"/>
      <c r="GZ46" s="204"/>
      <c r="HA46" s="204"/>
      <c r="HB46" s="204"/>
      <c r="HC46" s="204"/>
      <c r="HD46" s="204"/>
      <c r="HE46" s="204"/>
      <c r="HF46" s="204"/>
      <c r="HG46" s="204"/>
      <c r="HH46" s="204"/>
      <c r="HI46" s="204"/>
      <c r="HJ46" s="204"/>
      <c r="HK46" s="204"/>
      <c r="HL46" s="204"/>
      <c r="HM46" s="204"/>
      <c r="HN46" s="204"/>
      <c r="HO46" s="204"/>
      <c r="HP46" s="204"/>
      <c r="HQ46" s="204"/>
      <c r="HR46" s="204"/>
      <c r="HS46" s="204"/>
      <c r="HT46" s="204"/>
      <c r="HU46" s="204"/>
      <c r="HV46" s="204"/>
      <c r="HW46" s="204"/>
      <c r="HX46" s="204"/>
      <c r="HY46" s="204"/>
      <c r="HZ46" s="204"/>
      <c r="IA46" s="204"/>
      <c r="IB46" s="204"/>
      <c r="IC46" s="204"/>
      <c r="ID46" s="204"/>
      <c r="IE46" s="204"/>
      <c r="IF46" s="204"/>
      <c r="IG46" s="204"/>
      <c r="IH46" s="204"/>
      <c r="II46" s="204"/>
      <c r="IJ46" s="204"/>
      <c r="IK46" s="204"/>
      <c r="IL46" s="204"/>
      <c r="IM46" s="204"/>
      <c r="IN46" s="204"/>
      <c r="IO46" s="204"/>
      <c r="IP46" s="204"/>
      <c r="IQ46" s="204"/>
      <c r="IR46" s="204"/>
      <c r="IS46" s="204"/>
      <c r="IT46" s="204"/>
      <c r="IU46" s="204"/>
    </row>
    <row r="47" spans="1:255" x14ac:dyDescent="0.25">
      <c r="A47" s="205"/>
      <c r="B47" s="205"/>
      <c r="C47" s="205" t="s">
        <v>218</v>
      </c>
      <c r="D47" s="205"/>
      <c r="E47" s="220">
        <v>200</v>
      </c>
      <c r="F47" s="205" t="s">
        <v>83</v>
      </c>
      <c r="G47" s="318"/>
      <c r="H47" s="205"/>
      <c r="I47" s="320">
        <f>(Resultater!H62*E47*1.75)/1000</f>
        <v>315</v>
      </c>
      <c r="J47" s="318"/>
      <c r="K47" s="205"/>
      <c r="L47" s="203"/>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4"/>
      <c r="BR47" s="204"/>
      <c r="BS47" s="204"/>
      <c r="BT47" s="204"/>
      <c r="BU47" s="204"/>
      <c r="BV47" s="204"/>
      <c r="BW47" s="204"/>
      <c r="BX47" s="204"/>
      <c r="BY47" s="204"/>
      <c r="BZ47" s="204"/>
      <c r="CA47" s="204"/>
      <c r="CB47" s="204"/>
      <c r="CC47" s="204"/>
      <c r="CD47" s="204"/>
      <c r="CE47" s="204"/>
      <c r="CF47" s="204"/>
      <c r="CG47" s="204"/>
      <c r="CH47" s="204"/>
      <c r="CI47" s="204"/>
      <c r="CJ47" s="204"/>
      <c r="CK47" s="204"/>
      <c r="CL47" s="204"/>
      <c r="CM47" s="204"/>
      <c r="CN47" s="204"/>
      <c r="CO47" s="204"/>
      <c r="CP47" s="204"/>
      <c r="CQ47" s="204"/>
      <c r="CR47" s="204"/>
      <c r="CS47" s="204"/>
      <c r="CT47" s="204"/>
      <c r="CU47" s="204"/>
      <c r="CV47" s="204"/>
      <c r="CW47" s="204"/>
      <c r="CX47" s="204"/>
      <c r="CY47" s="204"/>
      <c r="CZ47" s="204"/>
      <c r="DA47" s="204"/>
      <c r="DB47" s="204"/>
      <c r="DC47" s="204"/>
      <c r="DD47" s="204"/>
      <c r="DE47" s="204"/>
      <c r="DF47" s="204"/>
      <c r="DG47" s="204"/>
      <c r="DH47" s="204"/>
      <c r="DI47" s="204"/>
      <c r="DJ47" s="204"/>
      <c r="DK47" s="204"/>
      <c r="DL47" s="204"/>
      <c r="DM47" s="204"/>
      <c r="DN47" s="204"/>
      <c r="DO47" s="204"/>
      <c r="DP47" s="204"/>
      <c r="DQ47" s="204"/>
      <c r="DR47" s="204"/>
      <c r="DS47" s="204"/>
      <c r="DT47" s="204"/>
      <c r="DU47" s="204"/>
      <c r="DV47" s="204"/>
      <c r="DW47" s="204"/>
      <c r="DX47" s="204"/>
      <c r="DY47" s="204"/>
      <c r="DZ47" s="204"/>
      <c r="EA47" s="204"/>
      <c r="EB47" s="204"/>
      <c r="EC47" s="204"/>
      <c r="ED47" s="204"/>
      <c r="EE47" s="204"/>
      <c r="EF47" s="204"/>
      <c r="EG47" s="204"/>
      <c r="EH47" s="204"/>
      <c r="EI47" s="204"/>
      <c r="EJ47" s="204"/>
      <c r="EK47" s="204"/>
      <c r="EL47" s="204"/>
      <c r="EM47" s="204"/>
      <c r="EN47" s="204"/>
      <c r="EO47" s="204"/>
      <c r="EP47" s="204"/>
      <c r="EQ47" s="204"/>
      <c r="ER47" s="204"/>
      <c r="ES47" s="204"/>
      <c r="ET47" s="204"/>
      <c r="EU47" s="204"/>
      <c r="EV47" s="204"/>
      <c r="EW47" s="204"/>
      <c r="EX47" s="204"/>
      <c r="EY47" s="204"/>
      <c r="EZ47" s="204"/>
      <c r="FA47" s="204"/>
      <c r="FB47" s="204"/>
      <c r="FC47" s="204"/>
      <c r="FD47" s="204"/>
      <c r="FE47" s="204"/>
      <c r="FF47" s="204"/>
      <c r="FG47" s="204"/>
      <c r="FH47" s="204"/>
      <c r="FI47" s="204"/>
      <c r="FJ47" s="204"/>
      <c r="FK47" s="204"/>
      <c r="FL47" s="204"/>
      <c r="FM47" s="204"/>
      <c r="FN47" s="204"/>
      <c r="FO47" s="204"/>
      <c r="FP47" s="204"/>
      <c r="FQ47" s="204"/>
      <c r="FR47" s="204"/>
      <c r="FS47" s="204"/>
      <c r="FT47" s="204"/>
      <c r="FU47" s="204"/>
      <c r="FV47" s="204"/>
      <c r="FW47" s="204"/>
      <c r="FX47" s="204"/>
      <c r="FY47" s="204"/>
      <c r="FZ47" s="204"/>
      <c r="GA47" s="204"/>
      <c r="GB47" s="204"/>
      <c r="GC47" s="204"/>
      <c r="GD47" s="204"/>
      <c r="GE47" s="204"/>
      <c r="GF47" s="204"/>
      <c r="GG47" s="204"/>
      <c r="GH47" s="204"/>
      <c r="GI47" s="204"/>
      <c r="GJ47" s="204"/>
      <c r="GK47" s="204"/>
      <c r="GL47" s="204"/>
      <c r="GM47" s="204"/>
      <c r="GN47" s="204"/>
      <c r="GO47" s="204"/>
      <c r="GP47" s="204"/>
      <c r="GQ47" s="204"/>
      <c r="GR47" s="204"/>
      <c r="GS47" s="204"/>
      <c r="GT47" s="204"/>
      <c r="GU47" s="204"/>
      <c r="GV47" s="204"/>
      <c r="GW47" s="204"/>
      <c r="GX47" s="204"/>
      <c r="GY47" s="204"/>
      <c r="GZ47" s="204"/>
      <c r="HA47" s="204"/>
      <c r="HB47" s="204"/>
      <c r="HC47" s="204"/>
      <c r="HD47" s="204"/>
      <c r="HE47" s="204"/>
      <c r="HF47" s="204"/>
      <c r="HG47" s="204"/>
      <c r="HH47" s="204"/>
      <c r="HI47" s="204"/>
      <c r="HJ47" s="204"/>
      <c r="HK47" s="204"/>
      <c r="HL47" s="204"/>
      <c r="HM47" s="204"/>
      <c r="HN47" s="204"/>
      <c r="HO47" s="204"/>
      <c r="HP47" s="204"/>
      <c r="HQ47" s="204"/>
      <c r="HR47" s="204"/>
      <c r="HS47" s="204"/>
      <c r="HT47" s="204"/>
      <c r="HU47" s="204"/>
      <c r="HV47" s="204"/>
      <c r="HW47" s="204"/>
      <c r="HX47" s="204"/>
      <c r="HY47" s="204"/>
      <c r="HZ47" s="204"/>
      <c r="IA47" s="204"/>
      <c r="IB47" s="204"/>
      <c r="IC47" s="204"/>
      <c r="ID47" s="204"/>
      <c r="IE47" s="204"/>
      <c r="IF47" s="204"/>
      <c r="IG47" s="204"/>
      <c r="IH47" s="204"/>
      <c r="II47" s="204"/>
      <c r="IJ47" s="204"/>
      <c r="IK47" s="204"/>
      <c r="IL47" s="204"/>
      <c r="IM47" s="204"/>
      <c r="IN47" s="204"/>
      <c r="IO47" s="204"/>
      <c r="IP47" s="204"/>
      <c r="IQ47" s="204"/>
      <c r="IR47" s="204"/>
      <c r="IS47" s="204"/>
      <c r="IT47" s="204"/>
      <c r="IU47" s="204"/>
    </row>
    <row r="48" spans="1:255" x14ac:dyDescent="0.25">
      <c r="A48" s="205"/>
      <c r="B48" s="205"/>
      <c r="C48" s="205" t="s">
        <v>211</v>
      </c>
      <c r="D48" s="205"/>
      <c r="E48" s="221">
        <v>0.05</v>
      </c>
      <c r="F48" s="205"/>
      <c r="G48" s="318"/>
      <c r="H48" s="205"/>
      <c r="I48" s="320">
        <f>+(Resultater!H62*440)/1000</f>
        <v>396</v>
      </c>
      <c r="J48" s="318"/>
      <c r="K48" s="205"/>
      <c r="L48" s="203"/>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4"/>
      <c r="BR48" s="204"/>
      <c r="BS48" s="204"/>
      <c r="BT48" s="204"/>
      <c r="BU48" s="204"/>
      <c r="BV48" s="204"/>
      <c r="BW48" s="204"/>
      <c r="BX48" s="204"/>
      <c r="BY48" s="204"/>
      <c r="BZ48" s="204"/>
      <c r="CA48" s="204"/>
      <c r="CB48" s="204"/>
      <c r="CC48" s="204"/>
      <c r="CD48" s="204"/>
      <c r="CE48" s="204"/>
      <c r="CF48" s="204"/>
      <c r="CG48" s="204"/>
      <c r="CH48" s="204"/>
      <c r="CI48" s="204"/>
      <c r="CJ48" s="204"/>
      <c r="CK48" s="204"/>
      <c r="CL48" s="204"/>
      <c r="CM48" s="204"/>
      <c r="CN48" s="204"/>
      <c r="CO48" s="204"/>
      <c r="CP48" s="204"/>
      <c r="CQ48" s="204"/>
      <c r="CR48" s="204"/>
      <c r="CS48" s="204"/>
      <c r="CT48" s="204"/>
      <c r="CU48" s="204"/>
      <c r="CV48" s="204"/>
      <c r="CW48" s="204"/>
      <c r="CX48" s="204"/>
      <c r="CY48" s="204"/>
      <c r="CZ48" s="204"/>
      <c r="DA48" s="204"/>
      <c r="DB48" s="204"/>
      <c r="DC48" s="204"/>
      <c r="DD48" s="204"/>
      <c r="DE48" s="204"/>
      <c r="DF48" s="204"/>
      <c r="DG48" s="204"/>
      <c r="DH48" s="204"/>
      <c r="DI48" s="204"/>
      <c r="DJ48" s="204"/>
      <c r="DK48" s="204"/>
      <c r="DL48" s="204"/>
      <c r="DM48" s="204"/>
      <c r="DN48" s="204"/>
      <c r="DO48" s="204"/>
      <c r="DP48" s="204"/>
      <c r="DQ48" s="204"/>
      <c r="DR48" s="204"/>
      <c r="DS48" s="204"/>
      <c r="DT48" s="204"/>
      <c r="DU48" s="204"/>
      <c r="DV48" s="204"/>
      <c r="DW48" s="204"/>
      <c r="DX48" s="204"/>
      <c r="DY48" s="204"/>
      <c r="DZ48" s="204"/>
      <c r="EA48" s="204"/>
      <c r="EB48" s="204"/>
      <c r="EC48" s="204"/>
      <c r="ED48" s="204"/>
      <c r="EE48" s="204"/>
      <c r="EF48" s="204"/>
      <c r="EG48" s="204"/>
      <c r="EH48" s="204"/>
      <c r="EI48" s="204"/>
      <c r="EJ48" s="204"/>
      <c r="EK48" s="204"/>
      <c r="EL48" s="204"/>
      <c r="EM48" s="204"/>
      <c r="EN48" s="204"/>
      <c r="EO48" s="204"/>
      <c r="EP48" s="204"/>
      <c r="EQ48" s="204"/>
      <c r="ER48" s="204"/>
      <c r="ES48" s="204"/>
      <c r="ET48" s="204"/>
      <c r="EU48" s="204"/>
      <c r="EV48" s="204"/>
      <c r="EW48" s="204"/>
      <c r="EX48" s="204"/>
      <c r="EY48" s="204"/>
      <c r="EZ48" s="204"/>
      <c r="FA48" s="204"/>
      <c r="FB48" s="204"/>
      <c r="FC48" s="204"/>
      <c r="FD48" s="204"/>
      <c r="FE48" s="204"/>
      <c r="FF48" s="204"/>
      <c r="FG48" s="204"/>
      <c r="FH48" s="204"/>
      <c r="FI48" s="204"/>
      <c r="FJ48" s="204"/>
      <c r="FK48" s="204"/>
      <c r="FL48" s="204"/>
      <c r="FM48" s="204"/>
      <c r="FN48" s="204"/>
      <c r="FO48" s="204"/>
      <c r="FP48" s="204"/>
      <c r="FQ48" s="204"/>
      <c r="FR48" s="204"/>
      <c r="FS48" s="204"/>
      <c r="FT48" s="204"/>
      <c r="FU48" s="204"/>
      <c r="FV48" s="204"/>
      <c r="FW48" s="204"/>
      <c r="FX48" s="204"/>
      <c r="FY48" s="204"/>
      <c r="FZ48" s="204"/>
      <c r="GA48" s="204"/>
      <c r="GB48" s="204"/>
      <c r="GC48" s="204"/>
      <c r="GD48" s="204"/>
      <c r="GE48" s="204"/>
      <c r="GF48" s="204"/>
      <c r="GG48" s="204"/>
      <c r="GH48" s="204"/>
      <c r="GI48" s="204"/>
      <c r="GJ48" s="204"/>
      <c r="GK48" s="204"/>
      <c r="GL48" s="204"/>
      <c r="GM48" s="204"/>
      <c r="GN48" s="204"/>
      <c r="GO48" s="204"/>
      <c r="GP48" s="204"/>
      <c r="GQ48" s="204"/>
      <c r="GR48" s="204"/>
      <c r="GS48" s="204"/>
      <c r="GT48" s="204"/>
      <c r="GU48" s="204"/>
      <c r="GV48" s="204"/>
      <c r="GW48" s="204"/>
      <c r="GX48" s="204"/>
      <c r="GY48" s="204"/>
      <c r="GZ48" s="204"/>
      <c r="HA48" s="204"/>
      <c r="HB48" s="204"/>
      <c r="HC48" s="204"/>
      <c r="HD48" s="204"/>
      <c r="HE48" s="204"/>
      <c r="HF48" s="204"/>
      <c r="HG48" s="204"/>
      <c r="HH48" s="204"/>
      <c r="HI48" s="204"/>
      <c r="HJ48" s="204"/>
      <c r="HK48" s="204"/>
      <c r="HL48" s="204"/>
      <c r="HM48" s="204"/>
      <c r="HN48" s="204"/>
      <c r="HO48" s="204"/>
      <c r="HP48" s="204"/>
      <c r="HQ48" s="204"/>
      <c r="HR48" s="204"/>
      <c r="HS48" s="204"/>
      <c r="HT48" s="204"/>
      <c r="HU48" s="204"/>
      <c r="HV48" s="204"/>
      <c r="HW48" s="204"/>
      <c r="HX48" s="204"/>
      <c r="HY48" s="204"/>
      <c r="HZ48" s="204"/>
      <c r="IA48" s="204"/>
      <c r="IB48" s="204"/>
      <c r="IC48" s="204"/>
      <c r="ID48" s="204"/>
      <c r="IE48" s="204"/>
      <c r="IF48" s="204"/>
      <c r="IG48" s="204"/>
      <c r="IH48" s="204"/>
      <c r="II48" s="204"/>
      <c r="IJ48" s="204"/>
      <c r="IK48" s="204"/>
      <c r="IL48" s="204"/>
      <c r="IM48" s="204"/>
      <c r="IN48" s="204"/>
      <c r="IO48" s="204"/>
      <c r="IP48" s="204"/>
      <c r="IQ48" s="204"/>
      <c r="IR48" s="204"/>
      <c r="IS48" s="204"/>
      <c r="IT48" s="204"/>
      <c r="IU48" s="204"/>
    </row>
    <row r="49" spans="1:255" x14ac:dyDescent="0.25">
      <c r="A49" s="205"/>
      <c r="B49" s="205"/>
      <c r="C49" s="205" t="s">
        <v>219</v>
      </c>
      <c r="D49" s="205"/>
      <c r="E49" s="205">
        <v>5</v>
      </c>
      <c r="F49" s="205" t="s">
        <v>213</v>
      </c>
      <c r="G49" s="318"/>
      <c r="H49" s="205"/>
      <c r="I49" s="320">
        <f>+(Resultater!H62*400)/1000</f>
        <v>360</v>
      </c>
      <c r="J49" s="318"/>
      <c r="K49" s="205"/>
      <c r="L49" s="203"/>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4"/>
      <c r="BR49" s="204"/>
      <c r="BS49" s="204"/>
      <c r="BT49" s="204"/>
      <c r="BU49" s="204"/>
      <c r="BV49" s="204"/>
      <c r="BW49" s="204"/>
      <c r="BX49" s="204"/>
      <c r="BY49" s="204"/>
      <c r="BZ49" s="204"/>
      <c r="CA49" s="204"/>
      <c r="CB49" s="204"/>
      <c r="CC49" s="204"/>
      <c r="CD49" s="204"/>
      <c r="CE49" s="204"/>
      <c r="CF49" s="204"/>
      <c r="CG49" s="204"/>
      <c r="CH49" s="204"/>
      <c r="CI49" s="204"/>
      <c r="CJ49" s="204"/>
      <c r="CK49" s="204"/>
      <c r="CL49" s="204"/>
      <c r="CM49" s="204"/>
      <c r="CN49" s="204"/>
      <c r="CO49" s="204"/>
      <c r="CP49" s="204"/>
      <c r="CQ49" s="204"/>
      <c r="CR49" s="204"/>
      <c r="CS49" s="204"/>
      <c r="CT49" s="204"/>
      <c r="CU49" s="204"/>
      <c r="CV49" s="204"/>
      <c r="CW49" s="204"/>
      <c r="CX49" s="204"/>
      <c r="CY49" s="204"/>
      <c r="CZ49" s="204"/>
      <c r="DA49" s="204"/>
      <c r="DB49" s="204"/>
      <c r="DC49" s="204"/>
      <c r="DD49" s="204"/>
      <c r="DE49" s="204"/>
      <c r="DF49" s="204"/>
      <c r="DG49" s="204"/>
      <c r="DH49" s="204"/>
      <c r="DI49" s="204"/>
      <c r="DJ49" s="204"/>
      <c r="DK49" s="204"/>
      <c r="DL49" s="204"/>
      <c r="DM49" s="204"/>
      <c r="DN49" s="204"/>
      <c r="DO49" s="204"/>
      <c r="DP49" s="204"/>
      <c r="DQ49" s="204"/>
      <c r="DR49" s="204"/>
      <c r="DS49" s="204"/>
      <c r="DT49" s="204"/>
      <c r="DU49" s="204"/>
      <c r="DV49" s="204"/>
      <c r="DW49" s="204"/>
      <c r="DX49" s="204"/>
      <c r="DY49" s="204"/>
      <c r="DZ49" s="204"/>
      <c r="EA49" s="204"/>
      <c r="EB49" s="204"/>
      <c r="EC49" s="204"/>
      <c r="ED49" s="204"/>
      <c r="EE49" s="204"/>
      <c r="EF49" s="204"/>
      <c r="EG49" s="204"/>
      <c r="EH49" s="204"/>
      <c r="EI49" s="204"/>
      <c r="EJ49" s="204"/>
      <c r="EK49" s="204"/>
      <c r="EL49" s="204"/>
      <c r="EM49" s="204"/>
      <c r="EN49" s="204"/>
      <c r="EO49" s="204"/>
      <c r="EP49" s="204"/>
      <c r="EQ49" s="204"/>
      <c r="ER49" s="204"/>
      <c r="ES49" s="204"/>
      <c r="ET49" s="204"/>
      <c r="EU49" s="204"/>
      <c r="EV49" s="204"/>
      <c r="EW49" s="204"/>
      <c r="EX49" s="204"/>
      <c r="EY49" s="204"/>
      <c r="EZ49" s="204"/>
      <c r="FA49" s="204"/>
      <c r="FB49" s="204"/>
      <c r="FC49" s="204"/>
      <c r="FD49" s="204"/>
      <c r="FE49" s="204"/>
      <c r="FF49" s="204"/>
      <c r="FG49" s="204"/>
      <c r="FH49" s="204"/>
      <c r="FI49" s="204"/>
      <c r="FJ49" s="204"/>
      <c r="FK49" s="204"/>
      <c r="FL49" s="204"/>
      <c r="FM49" s="204"/>
      <c r="FN49" s="204"/>
      <c r="FO49" s="204"/>
      <c r="FP49" s="204"/>
      <c r="FQ49" s="204"/>
      <c r="FR49" s="204"/>
      <c r="FS49" s="204"/>
      <c r="FT49" s="204"/>
      <c r="FU49" s="204"/>
      <c r="FV49" s="204"/>
      <c r="FW49" s="204"/>
      <c r="FX49" s="204"/>
      <c r="FY49" s="204"/>
      <c r="FZ49" s="204"/>
      <c r="GA49" s="204"/>
      <c r="GB49" s="204"/>
      <c r="GC49" s="204"/>
      <c r="GD49" s="204"/>
      <c r="GE49" s="204"/>
      <c r="GF49" s="204"/>
      <c r="GG49" s="204"/>
      <c r="GH49" s="204"/>
      <c r="GI49" s="204"/>
      <c r="GJ49" s="204"/>
      <c r="GK49" s="204"/>
      <c r="GL49" s="204"/>
      <c r="GM49" s="204"/>
      <c r="GN49" s="204"/>
      <c r="GO49" s="204"/>
      <c r="GP49" s="204"/>
      <c r="GQ49" s="204"/>
      <c r="GR49" s="204"/>
      <c r="GS49" s="204"/>
      <c r="GT49" s="204"/>
      <c r="GU49" s="204"/>
      <c r="GV49" s="204"/>
      <c r="GW49" s="204"/>
      <c r="GX49" s="204"/>
      <c r="GY49" s="204"/>
      <c r="GZ49" s="204"/>
      <c r="HA49" s="204"/>
      <c r="HB49" s="204"/>
      <c r="HC49" s="204"/>
      <c r="HD49" s="204"/>
      <c r="HE49" s="204"/>
      <c r="HF49" s="204"/>
      <c r="HG49" s="204"/>
      <c r="HH49" s="204"/>
      <c r="HI49" s="204"/>
      <c r="HJ49" s="204"/>
      <c r="HK49" s="204"/>
      <c r="HL49" s="204"/>
      <c r="HM49" s="204"/>
      <c r="HN49" s="204"/>
      <c r="HO49" s="204"/>
      <c r="HP49" s="204"/>
      <c r="HQ49" s="204"/>
      <c r="HR49" s="204"/>
      <c r="HS49" s="204"/>
      <c r="HT49" s="204"/>
      <c r="HU49" s="204"/>
      <c r="HV49" s="204"/>
      <c r="HW49" s="204"/>
      <c r="HX49" s="204"/>
      <c r="HY49" s="204"/>
      <c r="HZ49" s="204"/>
      <c r="IA49" s="204"/>
      <c r="IB49" s="204"/>
      <c r="IC49" s="204"/>
      <c r="ID49" s="204"/>
      <c r="IE49" s="204"/>
      <c r="IF49" s="204"/>
      <c r="IG49" s="204"/>
      <c r="IH49" s="204"/>
      <c r="II49" s="204"/>
      <c r="IJ49" s="204"/>
      <c r="IK49" s="204"/>
      <c r="IL49" s="204"/>
      <c r="IM49" s="204"/>
      <c r="IN49" s="204"/>
      <c r="IO49" s="204"/>
      <c r="IP49" s="204"/>
      <c r="IQ49" s="204"/>
      <c r="IR49" s="204"/>
      <c r="IS49" s="204"/>
      <c r="IT49" s="204"/>
      <c r="IU49" s="204"/>
    </row>
    <row r="50" spans="1:255" x14ac:dyDescent="0.25">
      <c r="B50" s="209"/>
      <c r="C50" s="209"/>
      <c r="D50" s="209"/>
      <c r="E50" s="209"/>
      <c r="F50" s="209"/>
      <c r="G50" s="209"/>
      <c r="H50" s="209"/>
      <c r="I50" s="209"/>
      <c r="J50" s="209"/>
      <c r="K50" s="209"/>
      <c r="L50" s="201"/>
    </row>
    <row r="51" spans="1:255" x14ac:dyDescent="0.25">
      <c r="B51" s="201"/>
      <c r="C51" s="201"/>
      <c r="D51" s="201"/>
      <c r="E51" s="201"/>
      <c r="F51" s="201"/>
      <c r="G51" s="201"/>
      <c r="H51" s="201"/>
      <c r="I51" s="201"/>
      <c r="J51" s="201"/>
      <c r="L51" s="201"/>
    </row>
  </sheetData>
  <mergeCells count="1">
    <mergeCell ref="B1:J1"/>
  </mergeCells>
  <phoneticPr fontId="1" type="noConversion"/>
  <pageMargins left="0.75" right="0.75" top="0.32" bottom="0.39" header="0.5" footer="0.5"/>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P17"/>
  <sheetViews>
    <sheetView showZeros="0" zoomScaleNormal="100" workbookViewId="0">
      <selection activeCell="I28" sqref="I28"/>
    </sheetView>
  </sheetViews>
  <sheetFormatPr defaultColWidth="8.7109375" defaultRowHeight="15" x14ac:dyDescent="0.25"/>
  <cols>
    <col min="1" max="1" width="1" style="226" customWidth="1"/>
    <col min="2" max="2" width="23.28515625" style="224" bestFit="1" customWidth="1"/>
    <col min="3" max="3" width="9.42578125" style="229" customWidth="1"/>
    <col min="4" max="4" width="7.28515625" style="224" customWidth="1"/>
    <col min="5" max="5" width="7.5703125" style="224" customWidth="1"/>
    <col min="6" max="6" width="8.85546875" style="224" customWidth="1"/>
    <col min="7" max="7" width="13.42578125" style="224" bestFit="1" customWidth="1"/>
    <col min="8" max="11" width="8.42578125" style="224" customWidth="1"/>
    <col min="12" max="246" width="9.140625" style="224" customWidth="1"/>
    <col min="247" max="16384" width="8.7109375" style="224"/>
  </cols>
  <sheetData>
    <row r="1" spans="1:250" ht="23.25" x14ac:dyDescent="0.25">
      <c r="A1" s="224"/>
      <c r="B1" s="420" t="s">
        <v>261</v>
      </c>
      <c r="C1" s="420"/>
      <c r="D1" s="420"/>
      <c r="E1" s="420"/>
      <c r="F1" s="420"/>
      <c r="G1" s="420"/>
      <c r="H1" s="420"/>
      <c r="I1" s="420"/>
      <c r="J1" s="420"/>
      <c r="K1" s="420"/>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row>
    <row r="2" spans="1:250" x14ac:dyDescent="0.25">
      <c r="B2" s="291" t="s">
        <v>220</v>
      </c>
      <c r="C2" s="226"/>
      <c r="D2" s="291" t="s">
        <v>221</v>
      </c>
      <c r="E2" s="226"/>
      <c r="F2" s="292">
        <f>Indtast!L133-Indtast!L134</f>
        <v>2.0000000000000004E-2</v>
      </c>
      <c r="G2" s="293">
        <f>Indtast!L133</f>
        <v>7.0000000000000007E-2</v>
      </c>
      <c r="H2" s="294">
        <f>F2</f>
        <v>2.0000000000000004E-2</v>
      </c>
      <c r="I2" s="226"/>
      <c r="J2" s="293">
        <f>F2</f>
        <v>2.0000000000000004E-2</v>
      </c>
      <c r="K2" s="293">
        <f>F2</f>
        <v>2.0000000000000004E-2</v>
      </c>
    </row>
    <row r="3" spans="1:250" x14ac:dyDescent="0.25">
      <c r="B3" s="226"/>
      <c r="C3" s="226"/>
      <c r="D3" s="295"/>
      <c r="E3" s="296"/>
      <c r="F3" s="297" t="s">
        <v>222</v>
      </c>
      <c r="G3" s="297"/>
      <c r="H3" s="298"/>
      <c r="I3" s="299"/>
      <c r="J3" s="299"/>
      <c r="K3" s="226"/>
    </row>
    <row r="4" spans="1:250" ht="30" x14ac:dyDescent="0.25">
      <c r="B4" s="226"/>
      <c r="C4" s="300" t="s">
        <v>223</v>
      </c>
      <c r="D4" s="300" t="s">
        <v>224</v>
      </c>
      <c r="E4" s="300" t="s">
        <v>225</v>
      </c>
      <c r="F4" s="301" t="s">
        <v>226</v>
      </c>
      <c r="G4" s="301" t="s">
        <v>177</v>
      </c>
      <c r="H4" s="302" t="s">
        <v>227</v>
      </c>
      <c r="I4" s="419" t="s">
        <v>228</v>
      </c>
      <c r="J4" s="419"/>
      <c r="K4" s="301" t="s">
        <v>229</v>
      </c>
    </row>
    <row r="5" spans="1:250" ht="15" customHeight="1" x14ac:dyDescent="0.25">
      <c r="B5" s="226"/>
      <c r="C5" s="286"/>
      <c r="D5" s="286"/>
      <c r="E5" s="226"/>
      <c r="F5" s="226"/>
      <c r="G5" s="226"/>
      <c r="H5" s="418" t="s">
        <v>230</v>
      </c>
      <c r="I5" s="418"/>
      <c r="J5" s="418"/>
      <c r="K5" s="418"/>
    </row>
    <row r="6" spans="1:250" x14ac:dyDescent="0.25">
      <c r="B6" s="230" t="str">
        <f>Indtast!B20</f>
        <v>Bygninger</v>
      </c>
      <c r="C6" s="231">
        <f>Indtast!C20</f>
        <v>25000</v>
      </c>
      <c r="D6" s="232">
        <f>Indtast!C75</f>
        <v>25</v>
      </c>
      <c r="E6" s="233">
        <f>Indtast!D123/100</f>
        <v>0.04</v>
      </c>
      <c r="F6" s="234">
        <f>F$2/(1-(1+F$2)^-D6)</f>
        <v>5.1220438417394751E-2</v>
      </c>
      <c r="G6" s="235">
        <f>G2+E6</f>
        <v>0.11000000000000001</v>
      </c>
      <c r="H6" s="231">
        <f>C6*(1+Resultater!$F$50)</f>
        <v>30000</v>
      </c>
      <c r="I6" s="384">
        <f>D6-Resultater!F51</f>
        <v>19</v>
      </c>
      <c r="J6" s="385">
        <f>F$2/(1-(1+F$2)^-I6)</f>
        <v>6.3781766302537082E-2</v>
      </c>
      <c r="K6" s="234">
        <f>(F$2-Resultater!$F$53)/(1-(1+(F$2-Resultater!$F$53))^-D6)</f>
        <v>4.540675340054795E-2</v>
      </c>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c r="BM6" s="227"/>
      <c r="BN6" s="227"/>
      <c r="BO6" s="227"/>
      <c r="BP6" s="227"/>
      <c r="BQ6" s="227"/>
      <c r="BR6" s="227"/>
      <c r="BS6" s="227"/>
      <c r="BT6" s="227"/>
      <c r="BU6" s="227"/>
      <c r="BV6" s="227"/>
      <c r="BW6" s="227"/>
      <c r="BX6" s="227"/>
      <c r="BY6" s="227"/>
      <c r="BZ6" s="227"/>
      <c r="CA6" s="227"/>
      <c r="CB6" s="227"/>
      <c r="CC6" s="227"/>
      <c r="CD6" s="227"/>
      <c r="CE6" s="227"/>
      <c r="CF6" s="227"/>
      <c r="CG6" s="227"/>
      <c r="CH6" s="227"/>
      <c r="CI6" s="227"/>
      <c r="CJ6" s="227"/>
      <c r="CK6" s="227"/>
      <c r="CL6" s="227"/>
      <c r="CM6" s="227"/>
      <c r="CN6" s="227"/>
      <c r="CO6" s="227"/>
      <c r="CP6" s="227"/>
      <c r="CQ6" s="227"/>
      <c r="CR6" s="227"/>
      <c r="CS6" s="227"/>
      <c r="CT6" s="227"/>
      <c r="CU6" s="227"/>
      <c r="CV6" s="227"/>
      <c r="CW6" s="227"/>
      <c r="CX6" s="227"/>
      <c r="CY6" s="227"/>
      <c r="CZ6" s="227"/>
      <c r="DA6" s="227"/>
      <c r="DB6" s="227"/>
      <c r="DC6" s="227"/>
      <c r="DD6" s="227"/>
      <c r="DE6" s="227"/>
      <c r="DF6" s="227"/>
      <c r="DG6" s="227"/>
      <c r="DH6" s="227"/>
      <c r="DI6" s="227"/>
      <c r="DJ6" s="227"/>
      <c r="DK6" s="227"/>
      <c r="DL6" s="227"/>
      <c r="DM6" s="227"/>
      <c r="DN6" s="227"/>
      <c r="DO6" s="227"/>
      <c r="DP6" s="227"/>
      <c r="DQ6" s="227"/>
      <c r="DR6" s="227"/>
      <c r="DS6" s="227"/>
      <c r="DT6" s="227"/>
      <c r="DU6" s="227"/>
      <c r="DV6" s="227"/>
      <c r="DW6" s="227"/>
      <c r="DX6" s="227"/>
      <c r="DY6" s="227"/>
      <c r="DZ6" s="227"/>
      <c r="EA6" s="227"/>
      <c r="EB6" s="227"/>
      <c r="EC6" s="227"/>
      <c r="ED6" s="227"/>
      <c r="EE6" s="227"/>
      <c r="EF6" s="227"/>
      <c r="EG6" s="227"/>
      <c r="EH6" s="227"/>
      <c r="EI6" s="227"/>
      <c r="EJ6" s="227"/>
      <c r="EK6" s="227"/>
      <c r="EL6" s="227"/>
      <c r="EM6" s="227"/>
      <c r="EN6" s="227"/>
      <c r="EO6" s="227"/>
      <c r="EP6" s="227"/>
      <c r="EQ6" s="227"/>
      <c r="ER6" s="227"/>
      <c r="ES6" s="227"/>
      <c r="ET6" s="227"/>
      <c r="EU6" s="227"/>
      <c r="EV6" s="227"/>
      <c r="EW6" s="227"/>
      <c r="EX6" s="227"/>
      <c r="EY6" s="227"/>
      <c r="EZ6" s="227"/>
      <c r="FA6" s="227"/>
      <c r="FB6" s="227"/>
      <c r="FC6" s="227"/>
      <c r="FD6" s="227"/>
      <c r="FE6" s="227"/>
      <c r="FF6" s="227"/>
      <c r="FG6" s="227"/>
      <c r="FH6" s="227"/>
      <c r="FI6" s="227"/>
      <c r="FJ6" s="227"/>
      <c r="FK6" s="227"/>
      <c r="FL6" s="227"/>
      <c r="FM6" s="227"/>
      <c r="FN6" s="227"/>
      <c r="FO6" s="227"/>
      <c r="FP6" s="227"/>
      <c r="FQ6" s="227"/>
      <c r="FR6" s="227"/>
      <c r="FS6" s="227"/>
      <c r="FT6" s="227"/>
      <c r="FU6" s="227"/>
      <c r="FV6" s="227"/>
      <c r="FW6" s="227"/>
      <c r="FX6" s="227"/>
      <c r="FY6" s="227"/>
      <c r="FZ6" s="227"/>
      <c r="GA6" s="227"/>
      <c r="GB6" s="227"/>
      <c r="GC6" s="227"/>
      <c r="GD6" s="227"/>
      <c r="GE6" s="227"/>
      <c r="GF6" s="227"/>
      <c r="GG6" s="227"/>
      <c r="GH6" s="227"/>
      <c r="GI6" s="227"/>
      <c r="GJ6" s="227"/>
      <c r="GK6" s="227"/>
      <c r="GL6" s="227"/>
      <c r="GM6" s="227"/>
      <c r="GN6" s="227"/>
      <c r="GO6" s="227"/>
      <c r="GP6" s="227"/>
      <c r="GQ6" s="227"/>
      <c r="GR6" s="227"/>
      <c r="GS6" s="227"/>
      <c r="GT6" s="227"/>
      <c r="GU6" s="227"/>
      <c r="GV6" s="227"/>
      <c r="GW6" s="227"/>
      <c r="GX6" s="227"/>
      <c r="GY6" s="227"/>
      <c r="GZ6" s="227"/>
      <c r="HA6" s="227"/>
      <c r="HB6" s="227"/>
      <c r="HC6" s="227"/>
      <c r="HD6" s="227"/>
      <c r="HE6" s="227"/>
      <c r="HF6" s="227"/>
      <c r="HG6" s="227"/>
      <c r="HH6" s="227"/>
      <c r="HI6" s="227"/>
      <c r="HJ6" s="227"/>
      <c r="HK6" s="227"/>
      <c r="HL6" s="227"/>
      <c r="HM6" s="227"/>
      <c r="HN6" s="227"/>
      <c r="HO6" s="227"/>
      <c r="HP6" s="227"/>
      <c r="HQ6" s="227"/>
      <c r="HR6" s="227"/>
      <c r="HS6" s="227"/>
      <c r="HT6" s="227"/>
      <c r="HU6" s="227"/>
      <c r="HV6" s="227"/>
      <c r="HW6" s="227"/>
      <c r="HX6" s="227"/>
      <c r="HY6" s="227"/>
      <c r="HZ6" s="227"/>
      <c r="IA6" s="227"/>
      <c r="IB6" s="227"/>
      <c r="IC6" s="227"/>
      <c r="ID6" s="227"/>
      <c r="IE6" s="227"/>
      <c r="IF6" s="227"/>
      <c r="IG6" s="227"/>
      <c r="IH6" s="227"/>
      <c r="II6" s="227"/>
      <c r="IJ6" s="227"/>
      <c r="IK6" s="227"/>
      <c r="IL6" s="227"/>
      <c r="IM6" s="227"/>
      <c r="IN6" s="227"/>
      <c r="IO6" s="227"/>
      <c r="IP6" s="227"/>
    </row>
    <row r="7" spans="1:250" x14ac:dyDescent="0.25">
      <c r="B7" s="230" t="str">
        <f>Indtast!B21</f>
        <v>Inventar</v>
      </c>
      <c r="C7" s="231">
        <f>Indtast!C21</f>
        <v>5875</v>
      </c>
      <c r="D7" s="232">
        <f>Indtast!C76</f>
        <v>10</v>
      </c>
      <c r="E7" s="233">
        <f>Indtast!D124/100</f>
        <v>0.15</v>
      </c>
      <c r="F7" s="234">
        <f>F$2/(1-(1+F$2)^-D7)</f>
        <v>0.11132652786531651</v>
      </c>
      <c r="G7" s="235">
        <f>G2+E7</f>
        <v>0.22</v>
      </c>
      <c r="H7" s="231">
        <f>C7*(1+Resultater!$F$50)</f>
        <v>7050</v>
      </c>
      <c r="I7" s="384">
        <f>D7-Resultater!$F$51/2</f>
        <v>7</v>
      </c>
      <c r="J7" s="385">
        <f>F$2/(1-(1+F$2)^-I$7)</f>
        <v>0.1545119561030997</v>
      </c>
      <c r="K7" s="234">
        <f>(F$2-Resultater!$F$53)/(1-(1+(F$2-Resultater!$F$53))^-D7)</f>
        <v>0.10558207655117124</v>
      </c>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c r="BM7" s="227"/>
      <c r="BN7" s="227"/>
      <c r="BO7" s="227"/>
      <c r="BP7" s="227"/>
      <c r="BQ7" s="227"/>
      <c r="BR7" s="227"/>
      <c r="BS7" s="227"/>
      <c r="BT7" s="227"/>
      <c r="BU7" s="227"/>
      <c r="BV7" s="227"/>
      <c r="BW7" s="227"/>
      <c r="BX7" s="227"/>
      <c r="BY7" s="227"/>
      <c r="BZ7" s="227"/>
      <c r="CA7" s="227"/>
      <c r="CB7" s="227"/>
      <c r="CC7" s="227"/>
      <c r="CD7" s="227"/>
      <c r="CE7" s="227"/>
      <c r="CF7" s="227"/>
      <c r="CG7" s="227"/>
      <c r="CH7" s="227"/>
      <c r="CI7" s="227"/>
      <c r="CJ7" s="227"/>
      <c r="CK7" s="227"/>
      <c r="CL7" s="227"/>
      <c r="CM7" s="227"/>
      <c r="CN7" s="227"/>
      <c r="CO7" s="227"/>
      <c r="CP7" s="227"/>
      <c r="CQ7" s="227"/>
      <c r="CR7" s="227"/>
      <c r="CS7" s="227"/>
      <c r="CT7" s="227"/>
      <c r="CU7" s="227"/>
      <c r="CV7" s="227"/>
      <c r="CW7" s="227"/>
      <c r="CX7" s="227"/>
      <c r="CY7" s="227"/>
      <c r="CZ7" s="227"/>
      <c r="DA7" s="227"/>
      <c r="DB7" s="227"/>
      <c r="DC7" s="227"/>
      <c r="DD7" s="227"/>
      <c r="DE7" s="227"/>
      <c r="DF7" s="227"/>
      <c r="DG7" s="227"/>
      <c r="DH7" s="227"/>
      <c r="DI7" s="227"/>
      <c r="DJ7" s="227"/>
      <c r="DK7" s="227"/>
      <c r="DL7" s="227"/>
      <c r="DM7" s="227"/>
      <c r="DN7" s="227"/>
      <c r="DO7" s="227"/>
      <c r="DP7" s="227"/>
      <c r="DQ7" s="227"/>
      <c r="DR7" s="227"/>
      <c r="DS7" s="227"/>
      <c r="DT7" s="227"/>
      <c r="DU7" s="227"/>
      <c r="DV7" s="227"/>
      <c r="DW7" s="227"/>
      <c r="DX7" s="227"/>
      <c r="DY7" s="227"/>
      <c r="DZ7" s="227"/>
      <c r="EA7" s="227"/>
      <c r="EB7" s="227"/>
      <c r="EC7" s="227"/>
      <c r="ED7" s="227"/>
      <c r="EE7" s="227"/>
      <c r="EF7" s="227"/>
      <c r="EG7" s="227"/>
      <c r="EH7" s="227"/>
      <c r="EI7" s="227"/>
      <c r="EJ7" s="227"/>
      <c r="EK7" s="227"/>
      <c r="EL7" s="227"/>
      <c r="EM7" s="227"/>
      <c r="EN7" s="227"/>
      <c r="EO7" s="227"/>
      <c r="EP7" s="227"/>
      <c r="EQ7" s="227"/>
      <c r="ER7" s="227"/>
      <c r="ES7" s="227"/>
      <c r="ET7" s="227"/>
      <c r="EU7" s="227"/>
      <c r="EV7" s="227"/>
      <c r="EW7" s="227"/>
      <c r="EX7" s="227"/>
      <c r="EY7" s="227"/>
      <c r="EZ7" s="227"/>
      <c r="FA7" s="227"/>
      <c r="FB7" s="227"/>
      <c r="FC7" s="227"/>
      <c r="FD7" s="227"/>
      <c r="FE7" s="227"/>
      <c r="FF7" s="227"/>
      <c r="FG7" s="227"/>
      <c r="FH7" s="227"/>
      <c r="FI7" s="227"/>
      <c r="FJ7" s="227"/>
      <c r="FK7" s="227"/>
      <c r="FL7" s="227"/>
      <c r="FM7" s="227"/>
      <c r="FN7" s="227"/>
      <c r="FO7" s="227"/>
      <c r="FP7" s="227"/>
      <c r="FQ7" s="227"/>
      <c r="FR7" s="227"/>
      <c r="FS7" s="227"/>
      <c r="FT7" s="227"/>
      <c r="FU7" s="227"/>
      <c r="FV7" s="227"/>
      <c r="FW7" s="227"/>
      <c r="FX7" s="227"/>
      <c r="FY7" s="227"/>
      <c r="FZ7" s="227"/>
      <c r="GA7" s="227"/>
      <c r="GB7" s="227"/>
      <c r="GC7" s="227"/>
      <c r="GD7" s="227"/>
      <c r="GE7" s="227"/>
      <c r="GF7" s="227"/>
      <c r="GG7" s="227"/>
      <c r="GH7" s="227"/>
      <c r="GI7" s="227"/>
      <c r="GJ7" s="227"/>
      <c r="GK7" s="227"/>
      <c r="GL7" s="227"/>
      <c r="GM7" s="227"/>
      <c r="GN7" s="227"/>
      <c r="GO7" s="227"/>
      <c r="GP7" s="227"/>
      <c r="GQ7" s="227"/>
      <c r="GR7" s="227"/>
      <c r="GS7" s="227"/>
      <c r="GT7" s="227"/>
      <c r="GU7" s="227"/>
      <c r="GV7" s="227"/>
      <c r="GW7" s="227"/>
      <c r="GX7" s="227"/>
      <c r="GY7" s="227"/>
      <c r="GZ7" s="227"/>
      <c r="HA7" s="227"/>
      <c r="HB7" s="227"/>
      <c r="HC7" s="227"/>
      <c r="HD7" s="227"/>
      <c r="HE7" s="227"/>
      <c r="HF7" s="227"/>
      <c r="HG7" s="227"/>
      <c r="HH7" s="227"/>
      <c r="HI7" s="227"/>
      <c r="HJ7" s="227"/>
      <c r="HK7" s="227"/>
      <c r="HL7" s="227"/>
      <c r="HM7" s="227"/>
      <c r="HN7" s="227"/>
      <c r="HO7" s="227"/>
      <c r="HP7" s="227"/>
      <c r="HQ7" s="227"/>
      <c r="HR7" s="227"/>
      <c r="HS7" s="227"/>
      <c r="HT7" s="227"/>
      <c r="HU7" s="227"/>
      <c r="HV7" s="227"/>
      <c r="HW7" s="227"/>
      <c r="HX7" s="227"/>
      <c r="HY7" s="227"/>
      <c r="HZ7" s="227"/>
      <c r="IA7" s="227"/>
      <c r="IB7" s="227"/>
      <c r="IC7" s="227"/>
      <c r="ID7" s="227"/>
      <c r="IE7" s="227"/>
      <c r="IF7" s="227"/>
      <c r="IG7" s="227"/>
      <c r="IH7" s="227"/>
      <c r="II7" s="227"/>
      <c r="IJ7" s="227"/>
      <c r="IK7" s="227"/>
      <c r="IL7" s="227"/>
      <c r="IM7" s="227"/>
      <c r="IN7" s="227"/>
      <c r="IO7" s="227"/>
      <c r="IP7" s="227"/>
    </row>
    <row r="8" spans="1:250" x14ac:dyDescent="0.25">
      <c r="B8" s="230" t="str">
        <f>Indtast!B22</f>
        <v>Besætning</v>
      </c>
      <c r="C8" s="231">
        <f>Indtast!C22</f>
        <v>5000</v>
      </c>
      <c r="D8" s="232"/>
      <c r="E8" s="230"/>
      <c r="F8" s="235">
        <f>F$2</f>
        <v>2.0000000000000004E-2</v>
      </c>
      <c r="G8" s="235">
        <f>G$2</f>
        <v>7.0000000000000007E-2</v>
      </c>
      <c r="H8" s="231">
        <f>C8*(1+Resultater!$F$50)</f>
        <v>6000</v>
      </c>
      <c r="I8" s="384"/>
      <c r="J8" s="386">
        <f>F$2</f>
        <v>2.0000000000000004E-2</v>
      </c>
      <c r="K8" s="233">
        <f>F$2-Resultater!$F$53</f>
        <v>1.0000000000000004E-2</v>
      </c>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c r="CC8" s="227"/>
      <c r="CD8" s="227"/>
      <c r="CE8" s="227"/>
      <c r="CF8" s="227"/>
      <c r="CG8" s="227"/>
      <c r="CH8" s="227"/>
      <c r="CI8" s="227"/>
      <c r="CJ8" s="227"/>
      <c r="CK8" s="227"/>
      <c r="CL8" s="227"/>
      <c r="CM8" s="227"/>
      <c r="CN8" s="227"/>
      <c r="CO8" s="227"/>
      <c r="CP8" s="227"/>
      <c r="CQ8" s="227"/>
      <c r="CR8" s="227"/>
      <c r="CS8" s="227"/>
      <c r="CT8" s="227"/>
      <c r="CU8" s="227"/>
      <c r="CV8" s="227"/>
      <c r="CW8" s="227"/>
      <c r="CX8" s="227"/>
      <c r="CY8" s="227"/>
      <c r="CZ8" s="227"/>
      <c r="DA8" s="227"/>
      <c r="DB8" s="227"/>
      <c r="DC8" s="227"/>
      <c r="DD8" s="227"/>
      <c r="DE8" s="227"/>
      <c r="DF8" s="227"/>
      <c r="DG8" s="227"/>
      <c r="DH8" s="227"/>
      <c r="DI8" s="227"/>
      <c r="DJ8" s="227"/>
      <c r="DK8" s="227"/>
      <c r="DL8" s="227"/>
      <c r="DM8" s="227"/>
      <c r="DN8" s="227"/>
      <c r="DO8" s="227"/>
      <c r="DP8" s="227"/>
      <c r="DQ8" s="227"/>
      <c r="DR8" s="227"/>
      <c r="DS8" s="227"/>
      <c r="DT8" s="227"/>
      <c r="DU8" s="227"/>
      <c r="DV8" s="227"/>
      <c r="DW8" s="227"/>
      <c r="DX8" s="227"/>
      <c r="DY8" s="227"/>
      <c r="DZ8" s="227"/>
      <c r="EA8" s="227"/>
      <c r="EB8" s="227"/>
      <c r="EC8" s="227"/>
      <c r="ED8" s="227"/>
      <c r="EE8" s="227"/>
      <c r="EF8" s="227"/>
      <c r="EG8" s="227"/>
      <c r="EH8" s="227"/>
      <c r="EI8" s="227"/>
      <c r="EJ8" s="227"/>
      <c r="EK8" s="227"/>
      <c r="EL8" s="227"/>
      <c r="EM8" s="227"/>
      <c r="EN8" s="227"/>
      <c r="EO8" s="227"/>
      <c r="EP8" s="227"/>
      <c r="EQ8" s="227"/>
      <c r="ER8" s="227"/>
      <c r="ES8" s="227"/>
      <c r="ET8" s="227"/>
      <c r="EU8" s="227"/>
      <c r="EV8" s="227"/>
      <c r="EW8" s="227"/>
      <c r="EX8" s="227"/>
      <c r="EY8" s="227"/>
      <c r="EZ8" s="227"/>
      <c r="FA8" s="227"/>
      <c r="FB8" s="227"/>
      <c r="FC8" s="227"/>
      <c r="FD8" s="227"/>
      <c r="FE8" s="227"/>
      <c r="FF8" s="227"/>
      <c r="FG8" s="227"/>
      <c r="FH8" s="227"/>
      <c r="FI8" s="227"/>
      <c r="FJ8" s="227"/>
      <c r="FK8" s="227"/>
      <c r="FL8" s="227"/>
      <c r="FM8" s="227"/>
      <c r="FN8" s="227"/>
      <c r="FO8" s="227"/>
      <c r="FP8" s="227"/>
      <c r="FQ8" s="227"/>
      <c r="FR8" s="227"/>
      <c r="FS8" s="227"/>
      <c r="FT8" s="227"/>
      <c r="FU8" s="227"/>
      <c r="FV8" s="227"/>
      <c r="FW8" s="227"/>
      <c r="FX8" s="227"/>
      <c r="FY8" s="227"/>
      <c r="FZ8" s="227"/>
      <c r="GA8" s="227"/>
      <c r="GB8" s="227"/>
      <c r="GC8" s="227"/>
      <c r="GD8" s="227"/>
      <c r="GE8" s="227"/>
      <c r="GF8" s="227"/>
      <c r="GG8" s="227"/>
      <c r="GH8" s="227"/>
      <c r="GI8" s="227"/>
      <c r="GJ8" s="227"/>
      <c r="GK8" s="227"/>
      <c r="GL8" s="227"/>
      <c r="GM8" s="227"/>
      <c r="GN8" s="227"/>
      <c r="GO8" s="227"/>
      <c r="GP8" s="227"/>
      <c r="GQ8" s="227"/>
      <c r="GR8" s="227"/>
      <c r="GS8" s="227"/>
      <c r="GT8" s="227"/>
      <c r="GU8" s="227"/>
      <c r="GV8" s="227"/>
      <c r="GW8" s="227"/>
      <c r="GX8" s="227"/>
      <c r="GY8" s="227"/>
      <c r="GZ8" s="227"/>
      <c r="HA8" s="227"/>
      <c r="HB8" s="227"/>
      <c r="HC8" s="227"/>
      <c r="HD8" s="227"/>
      <c r="HE8" s="227"/>
      <c r="HF8" s="227"/>
      <c r="HG8" s="227"/>
      <c r="HH8" s="227"/>
      <c r="HI8" s="227"/>
      <c r="HJ8" s="227"/>
      <c r="HK8" s="227"/>
      <c r="HL8" s="227"/>
      <c r="HM8" s="227"/>
      <c r="HN8" s="227"/>
      <c r="HO8" s="227"/>
      <c r="HP8" s="227"/>
      <c r="HQ8" s="227"/>
      <c r="HR8" s="227"/>
      <c r="HS8" s="227"/>
      <c r="HT8" s="227"/>
      <c r="HU8" s="227"/>
      <c r="HV8" s="227"/>
      <c r="HW8" s="227"/>
      <c r="HX8" s="227"/>
      <c r="HY8" s="227"/>
      <c r="HZ8" s="227"/>
      <c r="IA8" s="227"/>
      <c r="IB8" s="227"/>
      <c r="IC8" s="227"/>
      <c r="ID8" s="227"/>
      <c r="IE8" s="227"/>
      <c r="IF8" s="227"/>
      <c r="IG8" s="227"/>
      <c r="IH8" s="227"/>
      <c r="II8" s="227"/>
      <c r="IJ8" s="227"/>
      <c r="IK8" s="227"/>
      <c r="IL8" s="227"/>
      <c r="IM8" s="227"/>
      <c r="IN8" s="227"/>
      <c r="IO8" s="227"/>
      <c r="IP8" s="227"/>
    </row>
    <row r="9" spans="1:250" x14ac:dyDescent="0.25">
      <c r="B9" s="230" t="str">
        <f>Indtast!B23</f>
        <v>Indkøringstab</v>
      </c>
      <c r="C9" s="231">
        <f>Indtast!C23</f>
        <v>3100</v>
      </c>
      <c r="D9" s="232">
        <f>D7</f>
        <v>10</v>
      </c>
      <c r="E9" s="230"/>
      <c r="F9" s="234">
        <f>F$2/(1-(1+F$2)^-D9)</f>
        <v>0.11132652786531651</v>
      </c>
      <c r="G9" s="236" t="s">
        <v>231</v>
      </c>
      <c r="H9" s="231">
        <f>C9</f>
        <v>3100</v>
      </c>
      <c r="I9" s="384">
        <f>D9-Resultater!$F$51/2</f>
        <v>7</v>
      </c>
      <c r="J9" s="385">
        <f>F$2/(1-(1+F$2)^-I9)</f>
        <v>0.1545119561030997</v>
      </c>
      <c r="K9" s="234">
        <f>(F$2-Resultater!$F$53)/(1-(1+(F$2-Resultater!$F$53))^-D9)</f>
        <v>0.10558207655117124</v>
      </c>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c r="AW9" s="227"/>
      <c r="AX9" s="227"/>
      <c r="AY9" s="227"/>
      <c r="AZ9" s="227"/>
      <c r="BA9" s="227"/>
      <c r="BB9" s="227"/>
      <c r="BC9" s="227"/>
      <c r="BD9" s="227"/>
      <c r="BE9" s="227"/>
      <c r="BF9" s="227"/>
      <c r="BG9" s="227"/>
      <c r="BH9" s="227"/>
      <c r="BI9" s="227"/>
      <c r="BJ9" s="227"/>
      <c r="BK9" s="227"/>
      <c r="BL9" s="227"/>
      <c r="BM9" s="227"/>
      <c r="BN9" s="227"/>
      <c r="BO9" s="227"/>
      <c r="BP9" s="227"/>
      <c r="BQ9" s="227"/>
      <c r="BR9" s="227"/>
      <c r="BS9" s="227"/>
      <c r="BT9" s="227"/>
      <c r="BU9" s="227"/>
      <c r="BV9" s="227"/>
      <c r="BW9" s="227"/>
      <c r="BX9" s="227"/>
      <c r="BY9" s="227"/>
      <c r="BZ9" s="227"/>
      <c r="CA9" s="227"/>
      <c r="CB9" s="227"/>
      <c r="CC9" s="227"/>
      <c r="CD9" s="227"/>
      <c r="CE9" s="227"/>
      <c r="CF9" s="227"/>
      <c r="CG9" s="227"/>
      <c r="CH9" s="227"/>
      <c r="CI9" s="227"/>
      <c r="CJ9" s="227"/>
      <c r="CK9" s="227"/>
      <c r="CL9" s="227"/>
      <c r="CM9" s="227"/>
      <c r="CN9" s="227"/>
      <c r="CO9" s="227"/>
      <c r="CP9" s="227"/>
      <c r="CQ9" s="227"/>
      <c r="CR9" s="227"/>
      <c r="CS9" s="227"/>
      <c r="CT9" s="227"/>
      <c r="CU9" s="227"/>
      <c r="CV9" s="227"/>
      <c r="CW9" s="227"/>
      <c r="CX9" s="227"/>
      <c r="CY9" s="227"/>
      <c r="CZ9" s="227"/>
      <c r="DA9" s="227"/>
      <c r="DB9" s="227"/>
      <c r="DC9" s="227"/>
      <c r="DD9" s="227"/>
      <c r="DE9" s="227"/>
      <c r="DF9" s="227"/>
      <c r="DG9" s="227"/>
      <c r="DH9" s="227"/>
      <c r="DI9" s="227"/>
      <c r="DJ9" s="227"/>
      <c r="DK9" s="227"/>
      <c r="DL9" s="227"/>
      <c r="DM9" s="227"/>
      <c r="DN9" s="227"/>
      <c r="DO9" s="227"/>
      <c r="DP9" s="227"/>
      <c r="DQ9" s="227"/>
      <c r="DR9" s="227"/>
      <c r="DS9" s="227"/>
      <c r="DT9" s="227"/>
      <c r="DU9" s="227"/>
      <c r="DV9" s="227"/>
      <c r="DW9" s="227"/>
      <c r="DX9" s="227"/>
      <c r="DY9" s="227"/>
      <c r="DZ9" s="227"/>
      <c r="EA9" s="227"/>
      <c r="EB9" s="227"/>
      <c r="EC9" s="227"/>
      <c r="ED9" s="227"/>
      <c r="EE9" s="227"/>
      <c r="EF9" s="227"/>
      <c r="EG9" s="227"/>
      <c r="EH9" s="227"/>
      <c r="EI9" s="227"/>
      <c r="EJ9" s="227"/>
      <c r="EK9" s="227"/>
      <c r="EL9" s="227"/>
      <c r="EM9" s="227"/>
      <c r="EN9" s="227"/>
      <c r="EO9" s="227"/>
      <c r="EP9" s="227"/>
      <c r="EQ9" s="227"/>
      <c r="ER9" s="227"/>
      <c r="ES9" s="227"/>
      <c r="ET9" s="227"/>
      <c r="EU9" s="227"/>
      <c r="EV9" s="227"/>
      <c r="EW9" s="227"/>
      <c r="EX9" s="227"/>
      <c r="EY9" s="227"/>
      <c r="EZ9" s="227"/>
      <c r="FA9" s="227"/>
      <c r="FB9" s="227"/>
      <c r="FC9" s="227"/>
      <c r="FD9" s="227"/>
      <c r="FE9" s="227"/>
      <c r="FF9" s="227"/>
      <c r="FG9" s="227"/>
      <c r="FH9" s="227"/>
      <c r="FI9" s="227"/>
      <c r="FJ9" s="227"/>
      <c r="FK9" s="227"/>
      <c r="FL9" s="227"/>
      <c r="FM9" s="227"/>
      <c r="FN9" s="227"/>
      <c r="FO9" s="227"/>
      <c r="FP9" s="227"/>
      <c r="FQ9" s="227"/>
      <c r="FR9" s="227"/>
      <c r="FS9" s="227"/>
      <c r="FT9" s="227"/>
      <c r="FU9" s="227"/>
      <c r="FV9" s="227"/>
      <c r="FW9" s="227"/>
      <c r="FX9" s="227"/>
      <c r="FY9" s="227"/>
      <c r="FZ9" s="227"/>
      <c r="GA9" s="227"/>
      <c r="GB9" s="227"/>
      <c r="GC9" s="227"/>
      <c r="GD9" s="227"/>
      <c r="GE9" s="227"/>
      <c r="GF9" s="227"/>
      <c r="GG9" s="227"/>
      <c r="GH9" s="227"/>
      <c r="GI9" s="227"/>
      <c r="GJ9" s="227"/>
      <c r="GK9" s="227"/>
      <c r="GL9" s="227"/>
      <c r="GM9" s="227"/>
      <c r="GN9" s="227"/>
      <c r="GO9" s="227"/>
      <c r="GP9" s="227"/>
      <c r="GQ9" s="227"/>
      <c r="GR9" s="227"/>
      <c r="GS9" s="227"/>
      <c r="GT9" s="227"/>
      <c r="GU9" s="227"/>
      <c r="GV9" s="227"/>
      <c r="GW9" s="227"/>
      <c r="GX9" s="227"/>
      <c r="GY9" s="227"/>
      <c r="GZ9" s="227"/>
      <c r="HA9" s="227"/>
      <c r="HB9" s="227"/>
      <c r="HC9" s="227"/>
      <c r="HD9" s="227"/>
      <c r="HE9" s="227"/>
      <c r="HF9" s="227"/>
      <c r="HG9" s="227"/>
      <c r="HH9" s="227"/>
      <c r="HI9" s="227"/>
      <c r="HJ9" s="227"/>
      <c r="HK9" s="227"/>
      <c r="HL9" s="227"/>
      <c r="HM9" s="227"/>
      <c r="HN9" s="227"/>
      <c r="HO9" s="227"/>
      <c r="HP9" s="227"/>
      <c r="HQ9" s="227"/>
      <c r="HR9" s="227"/>
      <c r="HS9" s="227"/>
      <c r="HT9" s="227"/>
      <c r="HU9" s="227"/>
      <c r="HV9" s="227"/>
      <c r="HW9" s="227"/>
      <c r="HX9" s="227"/>
      <c r="HY9" s="227"/>
      <c r="HZ9" s="227"/>
      <c r="IA9" s="227"/>
      <c r="IB9" s="227"/>
      <c r="IC9" s="227"/>
      <c r="ID9" s="227"/>
      <c r="IE9" s="227"/>
      <c r="IF9" s="227"/>
      <c r="IG9" s="227"/>
      <c r="IH9" s="227"/>
      <c r="II9" s="227"/>
      <c r="IJ9" s="227"/>
      <c r="IK9" s="227"/>
      <c r="IL9" s="227"/>
      <c r="IM9" s="227"/>
      <c r="IN9" s="227"/>
      <c r="IO9" s="227"/>
      <c r="IP9" s="227"/>
    </row>
    <row r="10" spans="1:250" x14ac:dyDescent="0.25">
      <c r="B10" s="230" t="str">
        <f>Indtast!B24</f>
        <v>Låneomkost.</v>
      </c>
      <c r="C10" s="231">
        <f>Indtast!C24</f>
        <v>1169</v>
      </c>
      <c r="D10" s="232">
        <f>D7</f>
        <v>10</v>
      </c>
      <c r="E10" s="230"/>
      <c r="F10" s="234">
        <f>F$2/(1-(1+F$2)^-D10)</f>
        <v>0.11132652786531651</v>
      </c>
      <c r="G10" s="236" t="s">
        <v>232</v>
      </c>
      <c r="H10" s="231">
        <f>C10*(1+Resultater!$F$50)</f>
        <v>1402.8</v>
      </c>
      <c r="I10" s="384">
        <f>D10-Resultater!$F$51/2</f>
        <v>7</v>
      </c>
      <c r="J10" s="385">
        <f>F$2/(1-(1+F$2)^-I10)</f>
        <v>0.1545119561030997</v>
      </c>
      <c r="K10" s="234">
        <f>(F$2-Resultater!$F$53)/(1-(1+(F$2-Resultater!$F$53))^-D10)</f>
        <v>0.10558207655117124</v>
      </c>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7"/>
      <c r="AY10" s="227"/>
      <c r="AZ10" s="227"/>
      <c r="BA10" s="227"/>
      <c r="BB10" s="227"/>
      <c r="BC10" s="227"/>
      <c r="BD10" s="227"/>
      <c r="BE10" s="227"/>
      <c r="BF10" s="227"/>
      <c r="BG10" s="227"/>
      <c r="BH10" s="227"/>
      <c r="BI10" s="227"/>
      <c r="BJ10" s="227"/>
      <c r="BK10" s="227"/>
      <c r="BL10" s="227"/>
      <c r="BM10" s="227"/>
      <c r="BN10" s="227"/>
      <c r="BO10" s="227"/>
      <c r="BP10" s="227"/>
      <c r="BQ10" s="227"/>
      <c r="BR10" s="227"/>
      <c r="BS10" s="227"/>
      <c r="BT10" s="227"/>
      <c r="BU10" s="227"/>
      <c r="BV10" s="227"/>
      <c r="BW10" s="227"/>
      <c r="BX10" s="227"/>
      <c r="BY10" s="227"/>
      <c r="BZ10" s="227"/>
      <c r="CA10" s="227"/>
      <c r="CB10" s="227"/>
      <c r="CC10" s="227"/>
      <c r="CD10" s="227"/>
      <c r="CE10" s="227"/>
      <c r="CF10" s="227"/>
      <c r="CG10" s="227"/>
      <c r="CH10" s="227"/>
      <c r="CI10" s="227"/>
      <c r="CJ10" s="227"/>
      <c r="CK10" s="227"/>
      <c r="CL10" s="227"/>
      <c r="CM10" s="227"/>
      <c r="CN10" s="227"/>
      <c r="CO10" s="227"/>
      <c r="CP10" s="227"/>
      <c r="CQ10" s="227"/>
      <c r="CR10" s="227"/>
      <c r="CS10" s="227"/>
      <c r="CT10" s="227"/>
      <c r="CU10" s="227"/>
      <c r="CV10" s="227"/>
      <c r="CW10" s="227"/>
      <c r="CX10" s="227"/>
      <c r="CY10" s="227"/>
      <c r="CZ10" s="227"/>
      <c r="DA10" s="227"/>
      <c r="DB10" s="227"/>
      <c r="DC10" s="227"/>
      <c r="DD10" s="227"/>
      <c r="DE10" s="227"/>
      <c r="DF10" s="227"/>
      <c r="DG10" s="227"/>
      <c r="DH10" s="227"/>
      <c r="DI10" s="227"/>
      <c r="DJ10" s="227"/>
      <c r="DK10" s="227"/>
      <c r="DL10" s="227"/>
      <c r="DM10" s="227"/>
      <c r="DN10" s="227"/>
      <c r="DO10" s="227"/>
      <c r="DP10" s="227"/>
      <c r="DQ10" s="227"/>
      <c r="DR10" s="227"/>
      <c r="DS10" s="227"/>
      <c r="DT10" s="227"/>
      <c r="DU10" s="227"/>
      <c r="DV10" s="227"/>
      <c r="DW10" s="227"/>
      <c r="DX10" s="227"/>
      <c r="DY10" s="227"/>
      <c r="DZ10" s="227"/>
      <c r="EA10" s="227"/>
      <c r="EB10" s="227"/>
      <c r="EC10" s="227"/>
      <c r="ED10" s="227"/>
      <c r="EE10" s="227"/>
      <c r="EF10" s="227"/>
      <c r="EG10" s="227"/>
      <c r="EH10" s="227"/>
      <c r="EI10" s="227"/>
      <c r="EJ10" s="227"/>
      <c r="EK10" s="227"/>
      <c r="EL10" s="227"/>
      <c r="EM10" s="227"/>
      <c r="EN10" s="227"/>
      <c r="EO10" s="227"/>
      <c r="EP10" s="227"/>
      <c r="EQ10" s="227"/>
      <c r="ER10" s="227"/>
      <c r="ES10" s="227"/>
      <c r="ET10" s="227"/>
      <c r="EU10" s="227"/>
      <c r="EV10" s="227"/>
      <c r="EW10" s="227"/>
      <c r="EX10" s="227"/>
      <c r="EY10" s="227"/>
      <c r="EZ10" s="227"/>
      <c r="FA10" s="227"/>
      <c r="FB10" s="227"/>
      <c r="FC10" s="227"/>
      <c r="FD10" s="227"/>
      <c r="FE10" s="227"/>
      <c r="FF10" s="227"/>
      <c r="FG10" s="227"/>
      <c r="FH10" s="227"/>
      <c r="FI10" s="227"/>
      <c r="FJ10" s="227"/>
      <c r="FK10" s="227"/>
      <c r="FL10" s="227"/>
      <c r="FM10" s="227"/>
      <c r="FN10" s="227"/>
      <c r="FO10" s="227"/>
      <c r="FP10" s="227"/>
      <c r="FQ10" s="227"/>
      <c r="FR10" s="227"/>
      <c r="FS10" s="227"/>
      <c r="FT10" s="227"/>
      <c r="FU10" s="227"/>
      <c r="FV10" s="227"/>
      <c r="FW10" s="227"/>
      <c r="FX10" s="227"/>
      <c r="FY10" s="227"/>
      <c r="FZ10" s="227"/>
      <c r="GA10" s="227"/>
      <c r="GB10" s="227"/>
      <c r="GC10" s="227"/>
      <c r="GD10" s="227"/>
      <c r="GE10" s="227"/>
      <c r="GF10" s="227"/>
      <c r="GG10" s="227"/>
      <c r="GH10" s="227"/>
      <c r="GI10" s="227"/>
      <c r="GJ10" s="227"/>
      <c r="GK10" s="227"/>
      <c r="GL10" s="227"/>
      <c r="GM10" s="227"/>
      <c r="GN10" s="227"/>
      <c r="GO10" s="227"/>
      <c r="GP10" s="227"/>
      <c r="GQ10" s="227"/>
      <c r="GR10" s="227"/>
      <c r="GS10" s="227"/>
      <c r="GT10" s="227"/>
      <c r="GU10" s="227"/>
      <c r="GV10" s="227"/>
      <c r="GW10" s="227"/>
      <c r="GX10" s="227"/>
      <c r="GY10" s="227"/>
      <c r="GZ10" s="227"/>
      <c r="HA10" s="227"/>
      <c r="HB10" s="227"/>
      <c r="HC10" s="227"/>
      <c r="HD10" s="227"/>
      <c r="HE10" s="227"/>
      <c r="HF10" s="227"/>
      <c r="HG10" s="227"/>
      <c r="HH10" s="227"/>
      <c r="HI10" s="227"/>
      <c r="HJ10" s="227"/>
      <c r="HK10" s="227"/>
      <c r="HL10" s="227"/>
      <c r="HM10" s="227"/>
      <c r="HN10" s="227"/>
      <c r="HO10" s="227"/>
      <c r="HP10" s="227"/>
      <c r="HQ10" s="227"/>
      <c r="HR10" s="227"/>
      <c r="HS10" s="227"/>
      <c r="HT10" s="227"/>
      <c r="HU10" s="227"/>
      <c r="HV10" s="227"/>
      <c r="HW10" s="227"/>
      <c r="HX10" s="227"/>
      <c r="HY10" s="227"/>
      <c r="HZ10" s="227"/>
      <c r="IA10" s="227"/>
      <c r="IB10" s="227"/>
      <c r="IC10" s="227"/>
      <c r="ID10" s="227"/>
      <c r="IE10" s="227"/>
      <c r="IF10" s="227"/>
      <c r="IG10" s="227"/>
      <c r="IH10" s="227"/>
      <c r="II10" s="227"/>
      <c r="IJ10" s="227"/>
      <c r="IK10" s="227"/>
      <c r="IL10" s="227"/>
      <c r="IM10" s="227"/>
      <c r="IN10" s="227"/>
      <c r="IO10" s="227"/>
      <c r="IP10" s="227"/>
    </row>
    <row r="11" spans="1:250" x14ac:dyDescent="0.25">
      <c r="B11" s="237" t="s">
        <v>233</v>
      </c>
      <c r="C11" s="238">
        <f>SUM(C6:C10)</f>
        <v>40144</v>
      </c>
      <c r="D11" s="239"/>
      <c r="E11" s="237"/>
      <c r="F11" s="238">
        <f>C6*F6+C7*F7+C8*F8+C9*F9+C10*F10</f>
        <v>2509.8072591006394</v>
      </c>
      <c r="G11" s="238">
        <f>C6*G6+C7*G7+C8*G8</f>
        <v>4392.5000000000009</v>
      </c>
      <c r="H11" s="238">
        <f>H6*F6+H7*F7+H8*F8+H9*F9+H10*F10</f>
        <v>2942.746263644271</v>
      </c>
      <c r="I11" s="387"/>
      <c r="J11" s="387">
        <f>C6*J6+C7*J7+C8*J8+C9*J9+C10*J10</f>
        <v>3261.9134402732702</v>
      </c>
      <c r="K11" s="238">
        <f>C6*K6+C7*K7+C8*K8+C9*K9+$C10*K10</f>
        <v>2256.1934195487797</v>
      </c>
    </row>
    <row r="12" spans="1:250" x14ac:dyDescent="0.25">
      <c r="B12" s="308" t="s">
        <v>270</v>
      </c>
      <c r="C12" s="309"/>
      <c r="D12" s="308"/>
      <c r="E12" s="308"/>
      <c r="F12" s="310"/>
      <c r="G12" s="310">
        <f>$F11-G11</f>
        <v>-1882.6927408993615</v>
      </c>
      <c r="H12" s="310">
        <f>$F11-H11</f>
        <v>-432.93900454363165</v>
      </c>
      <c r="I12" s="388"/>
      <c r="J12" s="389">
        <f>$F11-J11</f>
        <v>-752.10618117263084</v>
      </c>
      <c r="K12" s="310">
        <f>$F11-K11</f>
        <v>253.61383955185966</v>
      </c>
    </row>
    <row r="13" spans="1:250" x14ac:dyDescent="0.25">
      <c r="B13" s="226"/>
      <c r="C13" s="286"/>
      <c r="D13" s="287"/>
      <c r="E13" s="226"/>
      <c r="F13" s="288"/>
      <c r="G13" s="226"/>
      <c r="H13" s="226"/>
      <c r="I13" s="286"/>
      <c r="J13" s="288"/>
      <c r="K13" s="226"/>
    </row>
    <row r="14" spans="1:250" x14ac:dyDescent="0.25">
      <c r="B14" s="226"/>
      <c r="C14" s="286"/>
      <c r="D14" s="289"/>
      <c r="E14" s="226"/>
      <c r="F14" s="290"/>
      <c r="G14" s="226"/>
      <c r="H14" s="226"/>
      <c r="I14" s="286"/>
      <c r="J14" s="290"/>
      <c r="K14" s="226"/>
    </row>
    <row r="15" spans="1:250" x14ac:dyDescent="0.25">
      <c r="B15" s="226"/>
      <c r="C15" s="286"/>
      <c r="D15" s="289"/>
      <c r="E15" s="226"/>
      <c r="F15" s="290"/>
      <c r="G15" s="226"/>
      <c r="H15" s="226"/>
      <c r="I15" s="286"/>
      <c r="J15" s="290"/>
      <c r="K15" s="226"/>
    </row>
    <row r="17" spans="3:3" x14ac:dyDescent="0.25">
      <c r="C17" s="228"/>
    </row>
  </sheetData>
  <mergeCells count="3">
    <mergeCell ref="H5:K5"/>
    <mergeCell ref="I4:J4"/>
    <mergeCell ref="B1:K1"/>
  </mergeCells>
  <phoneticPr fontId="1" type="noConversion"/>
  <pageMargins left="0.3" right="0.27" top="1" bottom="1" header="0.5" footer="0.5"/>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W52"/>
  <sheetViews>
    <sheetView showZeros="0" zoomScaleNormal="100" workbookViewId="0">
      <selection activeCell="F57" sqref="F57"/>
    </sheetView>
  </sheetViews>
  <sheetFormatPr defaultRowHeight="15" x14ac:dyDescent="0.25"/>
  <cols>
    <col min="1" max="1" width="2.7109375" style="242" customWidth="1"/>
    <col min="2" max="2" width="3" style="304" hidden="1" customWidth="1"/>
    <col min="3" max="3" width="18.5703125" style="242" customWidth="1"/>
    <col min="4" max="4" width="11.5703125" style="242" customWidth="1"/>
    <col min="5" max="6" width="12.28515625" style="242" customWidth="1"/>
    <col min="7" max="7" width="10.85546875" style="254" customWidth="1"/>
    <col min="8" max="8" width="8.85546875" style="242" customWidth="1"/>
    <col min="9" max="9" width="6.85546875" style="242" customWidth="1"/>
    <col min="10" max="10" width="9.140625" style="242"/>
    <col min="11" max="11" width="9.140625" style="241"/>
    <col min="12" max="12" width="25.42578125" style="242" customWidth="1"/>
    <col min="13" max="16384" width="9.140625" style="242"/>
  </cols>
  <sheetData>
    <row r="1" spans="2:257" ht="23.25" x14ac:dyDescent="0.25">
      <c r="B1" s="303"/>
      <c r="C1" s="423" t="s">
        <v>260</v>
      </c>
      <c r="D1" s="423"/>
      <c r="E1" s="423"/>
      <c r="F1" s="423"/>
      <c r="G1" s="423"/>
      <c r="H1" s="423"/>
      <c r="I1" s="423"/>
      <c r="J1" s="423"/>
      <c r="K1" s="423"/>
      <c r="L1" s="240"/>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c r="DV1" s="241"/>
      <c r="DW1" s="241"/>
      <c r="DX1" s="241"/>
      <c r="DY1" s="241"/>
      <c r="DZ1" s="241"/>
      <c r="EA1" s="241"/>
      <c r="EB1" s="241"/>
      <c r="EC1" s="241"/>
      <c r="ED1" s="241"/>
      <c r="EE1" s="241"/>
      <c r="EF1" s="241"/>
      <c r="EG1" s="241"/>
      <c r="EH1" s="241"/>
      <c r="EI1" s="241"/>
      <c r="EJ1" s="241"/>
      <c r="EK1" s="241"/>
      <c r="EL1" s="241"/>
      <c r="EM1" s="241"/>
      <c r="EN1" s="241"/>
      <c r="EO1" s="241"/>
      <c r="EP1" s="241"/>
      <c r="EQ1" s="241"/>
      <c r="ER1" s="241"/>
      <c r="ES1" s="241"/>
      <c r="ET1" s="241"/>
      <c r="EU1" s="241"/>
      <c r="EV1" s="241"/>
      <c r="EW1" s="241"/>
      <c r="EX1" s="241"/>
      <c r="EY1" s="241"/>
      <c r="EZ1" s="241"/>
      <c r="FA1" s="241"/>
      <c r="FB1" s="241"/>
      <c r="FC1" s="241"/>
      <c r="FD1" s="241"/>
      <c r="FE1" s="241"/>
      <c r="FF1" s="241"/>
      <c r="FG1" s="241"/>
      <c r="FH1" s="241"/>
      <c r="FI1" s="241"/>
      <c r="FJ1" s="241"/>
      <c r="FK1" s="241"/>
      <c r="FL1" s="241"/>
      <c r="FM1" s="241"/>
      <c r="FN1" s="241"/>
      <c r="FO1" s="241"/>
      <c r="FP1" s="241"/>
      <c r="FQ1" s="241"/>
      <c r="FR1" s="241"/>
      <c r="FS1" s="241"/>
      <c r="FT1" s="241"/>
      <c r="FU1" s="241"/>
      <c r="FV1" s="241"/>
      <c r="FW1" s="241"/>
      <c r="FX1" s="241"/>
      <c r="FY1" s="241"/>
      <c r="FZ1" s="241"/>
      <c r="GA1" s="241"/>
      <c r="GB1" s="241"/>
      <c r="GC1" s="241"/>
      <c r="GD1" s="241"/>
      <c r="GE1" s="241"/>
      <c r="GF1" s="241"/>
      <c r="GG1" s="241"/>
      <c r="GH1" s="241"/>
      <c r="GI1" s="241"/>
      <c r="GJ1" s="241"/>
      <c r="GK1" s="241"/>
      <c r="GL1" s="241"/>
      <c r="GM1" s="241"/>
      <c r="GN1" s="241"/>
      <c r="GO1" s="241"/>
      <c r="GP1" s="241"/>
      <c r="GQ1" s="241"/>
      <c r="GR1" s="241"/>
      <c r="GS1" s="241"/>
      <c r="GT1" s="241"/>
      <c r="GU1" s="241"/>
      <c r="GV1" s="241"/>
      <c r="GW1" s="241"/>
      <c r="GX1" s="241"/>
      <c r="GY1" s="241"/>
      <c r="GZ1" s="241"/>
      <c r="HA1" s="241"/>
      <c r="HB1" s="241"/>
      <c r="HC1" s="241"/>
      <c r="HD1" s="241"/>
      <c r="HE1" s="241"/>
      <c r="HF1" s="241"/>
      <c r="HG1" s="241"/>
      <c r="HH1" s="241"/>
      <c r="HI1" s="241"/>
      <c r="HJ1" s="241"/>
      <c r="HK1" s="241"/>
      <c r="HL1" s="241"/>
      <c r="HM1" s="241"/>
      <c r="HN1" s="241"/>
      <c r="HO1" s="241"/>
      <c r="HP1" s="241"/>
      <c r="HQ1" s="241"/>
      <c r="HR1" s="241"/>
      <c r="HS1" s="241"/>
      <c r="HT1" s="241"/>
      <c r="HU1" s="241"/>
      <c r="HV1" s="241"/>
      <c r="HW1" s="241"/>
      <c r="HX1" s="241"/>
      <c r="HY1" s="241"/>
      <c r="HZ1" s="241"/>
      <c r="IA1" s="241"/>
      <c r="IB1" s="241"/>
      <c r="IC1" s="241"/>
      <c r="ID1" s="241"/>
      <c r="IE1" s="241"/>
      <c r="IF1" s="241"/>
      <c r="IG1" s="241"/>
      <c r="IH1" s="241"/>
      <c r="II1" s="241"/>
      <c r="IJ1" s="241"/>
      <c r="IK1" s="241"/>
      <c r="IL1" s="241"/>
      <c r="IM1" s="241"/>
      <c r="IN1" s="241"/>
      <c r="IO1" s="241"/>
      <c r="IP1" s="241"/>
      <c r="IQ1" s="241"/>
      <c r="IR1" s="241"/>
      <c r="IS1" s="241"/>
      <c r="IT1" s="241"/>
      <c r="IU1" s="241"/>
      <c r="IV1" s="241"/>
      <c r="IW1" s="241"/>
    </row>
    <row r="2" spans="2:257" x14ac:dyDescent="0.25">
      <c r="C2" s="241"/>
      <c r="D2" s="241"/>
      <c r="E2" s="241"/>
      <c r="F2" s="241"/>
      <c r="G2" s="243"/>
      <c r="H2" s="241"/>
      <c r="I2" s="241"/>
      <c r="J2" s="241"/>
      <c r="L2" s="267"/>
      <c r="M2" s="267"/>
      <c r="N2" s="267"/>
    </row>
    <row r="3" spans="2:257" x14ac:dyDescent="0.25">
      <c r="C3" s="244"/>
      <c r="D3" s="258" t="str">
        <f>Indtast!D28</f>
        <v>1.000 kr.</v>
      </c>
      <c r="E3" s="248" t="str">
        <f>Indtast!E28</f>
        <v>Løbetid, år</v>
      </c>
      <c r="F3" s="248" t="str">
        <f>Indtast!G28</f>
        <v>Rente, pct</v>
      </c>
      <c r="G3" s="259" t="str">
        <f>Indtast!H28</f>
        <v>Type</v>
      </c>
      <c r="H3" s="241"/>
      <c r="I3" s="241"/>
      <c r="J3" s="241"/>
      <c r="L3" s="241"/>
    </row>
    <row r="4" spans="2:257" x14ac:dyDescent="0.25">
      <c r="C4" s="244" t="str">
        <f>Indtast!B29</f>
        <v>Realkredit</v>
      </c>
      <c r="D4" s="245">
        <f>Indtast!D29</f>
        <v>40000</v>
      </c>
      <c r="E4" s="246">
        <f>Indtast!E29</f>
        <v>20</v>
      </c>
      <c r="F4" s="247">
        <f>Indtast!F29</f>
        <v>7.0000000000000007E-2</v>
      </c>
      <c r="G4" s="246" t="str">
        <f>Indtast!K29</f>
        <v>a</v>
      </c>
      <c r="H4" s="241"/>
      <c r="I4" s="241"/>
      <c r="J4" s="241"/>
      <c r="L4" s="241"/>
    </row>
    <row r="5" spans="2:257" x14ac:dyDescent="0.25">
      <c r="C5" s="244" t="str">
        <f>Indtast!B30</f>
        <v>Bank</v>
      </c>
      <c r="D5" s="245">
        <f>Indtast!D30</f>
        <v>25000</v>
      </c>
      <c r="E5" s="246">
        <f>Indtast!E30</f>
        <v>10</v>
      </c>
      <c r="F5" s="247">
        <f>Indtast!F30</f>
        <v>0.06</v>
      </c>
      <c r="G5" s="246" t="str">
        <f>Indtast!K30</f>
        <v>st</v>
      </c>
      <c r="H5" s="241"/>
      <c r="I5" s="241"/>
      <c r="J5" s="241"/>
      <c r="L5" s="241"/>
    </row>
    <row r="6" spans="2:257" x14ac:dyDescent="0.25">
      <c r="C6" s="244" t="str">
        <f>Indtast!B31</f>
        <v>Andet 1</v>
      </c>
      <c r="D6" s="245">
        <f>Indtast!D31</f>
        <v>5000</v>
      </c>
      <c r="E6" s="246">
        <f>Indtast!E31</f>
        <v>10</v>
      </c>
      <c r="F6" s="247">
        <f>Indtast!F31</f>
        <v>0.1</v>
      </c>
      <c r="G6" s="246" t="str">
        <f>Indtast!K31</f>
        <v>a</v>
      </c>
      <c r="H6" s="241"/>
      <c r="I6" s="241"/>
      <c r="J6" s="241"/>
      <c r="L6" s="241"/>
    </row>
    <row r="7" spans="2:257" x14ac:dyDescent="0.25">
      <c r="C7" s="264" t="str">
        <f>Indtast!B32</f>
        <v>Andet 2</v>
      </c>
      <c r="D7" s="283">
        <f>Indtast!D32</f>
        <v>1500</v>
      </c>
      <c r="E7" s="284">
        <f>Indtast!E32</f>
        <v>5</v>
      </c>
      <c r="F7" s="285">
        <f>Indtast!F32</f>
        <v>0.12</v>
      </c>
      <c r="G7" s="284" t="str">
        <f>Indtast!K32</f>
        <v>a</v>
      </c>
      <c r="H7" s="241"/>
      <c r="I7" s="241"/>
      <c r="J7" s="241"/>
      <c r="L7" s="241"/>
    </row>
    <row r="8" spans="2:257" x14ac:dyDescent="0.25">
      <c r="C8" s="248" t="s">
        <v>234</v>
      </c>
      <c r="D8" s="249">
        <f>SUM(D4:D7)</f>
        <v>71500</v>
      </c>
      <c r="E8" s="244"/>
      <c r="F8" s="244"/>
      <c r="G8" s="246"/>
      <c r="H8" s="241"/>
      <c r="I8" s="241"/>
      <c r="J8" s="241"/>
      <c r="L8" s="241"/>
    </row>
    <row r="9" spans="2:257" x14ac:dyDescent="0.25">
      <c r="C9" s="241"/>
      <c r="D9" s="241"/>
      <c r="E9" s="241"/>
      <c r="F9" s="241"/>
      <c r="G9" s="243"/>
      <c r="H9" s="241"/>
      <c r="I9" s="241"/>
      <c r="J9" s="241"/>
      <c r="L9" s="241"/>
    </row>
    <row r="10" spans="2:257" x14ac:dyDescent="0.25">
      <c r="C10" s="244" t="s">
        <v>235</v>
      </c>
      <c r="D10" s="256" t="s">
        <v>236</v>
      </c>
      <c r="E10" s="257"/>
      <c r="F10" s="256" t="s">
        <v>237</v>
      </c>
      <c r="G10" s="257"/>
      <c r="H10" s="256" t="s">
        <v>238</v>
      </c>
      <c r="I10" s="257"/>
      <c r="J10" s="256" t="s">
        <v>239</v>
      </c>
      <c r="K10" s="257"/>
      <c r="L10" s="241"/>
    </row>
    <row r="11" spans="2:257" x14ac:dyDescent="0.25">
      <c r="C11" s="263" t="s">
        <v>23</v>
      </c>
      <c r="D11" s="262" t="s">
        <v>229</v>
      </c>
      <c r="E11" s="262" t="s">
        <v>45</v>
      </c>
      <c r="F11" s="262" t="s">
        <v>229</v>
      </c>
      <c r="G11" s="263" t="s">
        <v>45</v>
      </c>
      <c r="H11" s="262" t="s">
        <v>229</v>
      </c>
      <c r="I11" s="262" t="s">
        <v>45</v>
      </c>
      <c r="J11" s="262" t="s">
        <v>229</v>
      </c>
      <c r="K11" s="262" t="s">
        <v>45</v>
      </c>
      <c r="L11" s="241"/>
    </row>
    <row r="12" spans="2:257" x14ac:dyDescent="0.25">
      <c r="C12" s="244" t="str">
        <f>Indtast!B29</f>
        <v>Realkredit</v>
      </c>
      <c r="D12" s="250">
        <f>IF(Indtast!$K29="a",IPMT(Indtast!$F29,1,Indtast!$E29,Indtast!$D29)*-1,IF(Indtast!$K29="s",Indtast!$D29*Indtast!$F29,IF(Indtast!$K29="st",Indtast!$D29*Indtast!$F29,"Fejl i låntype")))</f>
        <v>2800.0000000000005</v>
      </c>
      <c r="E12" s="250">
        <f>IF(Indtast!$K29="a",PMT(Indtast!$F29,Indtast!$E29,Indtast!$D29)*-1-D12,IF(Indtast!$K29="S",Indtast!$D29/Indtast!$E29,IF(Indtast!$K29="ST",0,"Fejl i låntype")))</f>
        <v>975.7170297302273</v>
      </c>
      <c r="F12" s="250">
        <f>IF(Indtast!$K29="a",IPMT(Indtast!$F29,2,Indtast!$E29,-Indtast!$D29),IF(Indtast!$K29="s",(Indtast!$D29-E12)*Indtast!$F29,IF(Indtast!$K29="st",Indtast!$D29*Indtast!$F29,"Fejl i låntype")))</f>
        <v>2731.6998079188838</v>
      </c>
      <c r="G12" s="260">
        <f>IF(Indtast!$K29="a",PMT(Indtast!$F29,Indtast!$E29,Indtast!$D29)*-1-F12,IF(Indtast!$K29="S",Indtast!$D29/Indtast!$E29,IF(Indtast!$K29="ST",0,"Fejl i låntype")))</f>
        <v>1044.0172218113439</v>
      </c>
      <c r="H12" s="250">
        <f>IF(Indtast!$K29="a",IPMT(Indtast!$F29,3,Indtast!$E29,-Indtast!$D29),IF(Indtast!$K29="s",(Indtast!$D29-2*E12)*Indtast!$F29,IF(Indtast!$K29="st",Indtast!$D29*Indtast!$F29,"Fejl i låntype")))</f>
        <v>2658.61860239209</v>
      </c>
      <c r="I12" s="250">
        <f>IF(Indtast!$K29="a",PMT(Indtast!$F29,Indtast!$E29,Indtast!$D29)*-1-H12,IF(Indtast!$K29="S",Indtast!$D29/Indtast!$E29,IF(Indtast!$K29="ST",0,"Fejl i låntype")))</f>
        <v>1117.0984273381378</v>
      </c>
      <c r="J12" s="250">
        <f>IF(Indtast!$K29="a",IPMT(Indtast!$F29,4,Indtast!$E29,-Indtast!$D29),IF(Indtast!$K29="s",(Indtast!$D29-2*G12)*Indtast!$F29,IF(Indtast!$K29="st",Indtast!$D29*Indtast!$F29,"Fejl i låntype")))</f>
        <v>2580.4217124784209</v>
      </c>
      <c r="K12" s="250">
        <f>IF(Indtast!$K29="a",PMT(Indtast!$F29,Indtast!$E29,Indtast!$D29)*-1-J12,IF(Indtast!$K29="S",Indtast!$D29/Indtast!$E29,IF(Indtast!$K29="ST",0,"Fejl i låntype")))</f>
        <v>1195.2953172518069</v>
      </c>
      <c r="L12" s="241"/>
    </row>
    <row r="13" spans="2:257" x14ac:dyDescent="0.25">
      <c r="C13" s="244" t="str">
        <f>Indtast!B30</f>
        <v>Bank</v>
      </c>
      <c r="D13" s="250">
        <f>IF(Indtast!K30="a",IPMT(Indtast!F30,1,Indtast!E30,Indtast!D30)*-1,IF(Indtast!K30="s",Indtast!D30*Indtast!F30,IF(Indtast!K30="st",Indtast!D30*Indtast!F30,"Fejl i låntype")))</f>
        <v>1500</v>
      </c>
      <c r="E13" s="250">
        <f>IF(Indtast!K30="a",PMT(Indtast!F30,Indtast!E30,Indtast!D30)*(-1)-D13,IF(Indtast!K30="S",Indtast!D30/Indtast!E30,IF(Indtast!K30="ST",0,"Fejl i låntype")))</f>
        <v>0</v>
      </c>
      <c r="F13" s="250">
        <f>IF(Indtast!$K30="a",IPMT(Indtast!$F30,2,Indtast!$E30,Indtast!$D30)*-1,IF(Indtast!$K30="s",(Indtast!$D30-E13)*Indtast!$F30,IF(Indtast!$K30="st",Indtast!$D30*Indtast!$F30,"Fejl i låntype")))</f>
        <v>1500</v>
      </c>
      <c r="G13" s="260">
        <f>IF(Indtast!$K30="a",PMT(Indtast!$F30,Indtast!$E30,Indtast!$D30)*(-1)-F13,IF(Indtast!$K30="S",Indtast!$D30/Indtast!$E30,IF(Indtast!$K30="ST",0,"Fejl i låntype")))</f>
        <v>0</v>
      </c>
      <c r="H13" s="250">
        <f>IF(Indtast!$K30="a",IPMT(Indtast!$F30,3,Indtast!$E30,-Indtast!$D30),IF(Indtast!$K30="s",(Indtast!$D30-2*E13)*Indtast!$F30,IF(Indtast!$K30="st",Indtast!$D30*Indtast!$F30,"Fejl i låntype")))</f>
        <v>1500</v>
      </c>
      <c r="I13" s="250">
        <f>IF(Indtast!$K30="a",PMT(Indtast!$F30,Indtast!$E30,Indtast!$D30)*(-1)-H13,IF(Indtast!$K30="S",Indtast!$D30/Indtast!$E30,IF(Indtast!$K30="ST",0,"Fejl i låntype")))</f>
        <v>0</v>
      </c>
      <c r="J13" s="250">
        <f>IF(Indtast!$K30="a",IPMT(Indtast!$F30,4,Indtast!$E30,-Indtast!$D30),IF(Indtast!$K30="s",(Indtast!$D30-2*G13)*Indtast!$F30,IF(Indtast!$K30="st",Indtast!$D30*Indtast!$F30,"Fejl i låntype")))</f>
        <v>1500</v>
      </c>
      <c r="K13" s="250">
        <f>IF(Indtast!$K30="a",PMT(Indtast!$F30,Indtast!$E30,Indtast!$D30)*(-1)-J13,IF(Indtast!$K30="S",Indtast!$D30/Indtast!$E30,IF(Indtast!$K30="ST",0,"Fejl i låntype")))</f>
        <v>0</v>
      </c>
      <c r="L13" s="241"/>
    </row>
    <row r="14" spans="2:257" x14ac:dyDescent="0.25">
      <c r="C14" s="244" t="str">
        <f>Indtast!B31</f>
        <v>Andet 1</v>
      </c>
      <c r="D14" s="250">
        <f>IF(Indtast!K31="a",IPMT(Indtast!F31,1,Indtast!E31,Indtast!D31)*-1,IF(Indtast!K31="s",Indtast!D31*Indtast!F31,IF(Indtast!K31="st",Indtast!D31*Indtast!F31,"Fejl i låntype")))</f>
        <v>500</v>
      </c>
      <c r="E14" s="250">
        <f>IF(Indtast!K31="a",PMT(Indtast!F31,Indtast!E31,Indtast!D31)*(-1)-D14,IF(Indtast!K31="S",Indtast!D31/Indtast!E31,IF(Indtast!K31="ST",0,"Fejl i låntype")))</f>
        <v>313.72697441255809</v>
      </c>
      <c r="F14" s="250">
        <f>IF(Indtast!$K31="a",IPMT(Indtast!$F31,2,Indtast!$E31,Indtast!$D31)*-1,IF(Indtast!$K31="s",(Indtast!$D31-E14)*Indtast!$F31,IF(Indtast!$K31="st",Indtast!$D31*Indtast!$F31,"Fejl i låntype")))</f>
        <v>468.62730255874425</v>
      </c>
      <c r="G14" s="260">
        <f>IF(Indtast!$K31="a",PMT(Indtast!$F31,Indtast!$E31,Indtast!$D31)*(-1)-F14,IF(Indtast!$K31="S",Indtast!$D31/Indtast!$E31,IF(Indtast!$K31="ST",0,"Fejl i låntype")))</f>
        <v>345.09967185381385</v>
      </c>
      <c r="H14" s="250">
        <f>IF(Indtast!$K31="a",IPMT(Indtast!$F31,3,Indtast!$E31,Indtast!$D31)*-1,IF(Indtast!$K31="s",(Indtast!$D31-2*E14)*Indtast!$F31,IF(Indtast!$K31="st",Indtast!$D31*Indtast!$F31,"Fejl i låntype")))</f>
        <v>434.11733537336278</v>
      </c>
      <c r="I14" s="250">
        <f>IF(Indtast!$K31="a",PMT(Indtast!$F31,Indtast!$E31,Indtast!$D31)*(-1)-H14,IF(Indtast!$K31="S",Indtast!$D31/Indtast!$E31,IF(Indtast!$K31="ST",0,"Fejl i låntype")))</f>
        <v>379.60963903919532</v>
      </c>
      <c r="J14" s="250">
        <f>IF(Indtast!$K31="a",IPMT(Indtast!$F31,4,Indtast!$E31,Indtast!$D31)*-1,IF(Indtast!$K31="s",(Indtast!$D31-2*G14)*Indtast!$F31,IF(Indtast!$K31="st",Indtast!$D31*Indtast!$F31,"Fejl i låntype")))</f>
        <v>396.15637146944329</v>
      </c>
      <c r="K14" s="250">
        <f>IF(Indtast!$K31="a",PMT(Indtast!$F31,Indtast!$E31,Indtast!$D31)*(-1)-J14,IF(Indtast!$K31="S",Indtast!$D31/Indtast!$E31,IF(Indtast!$K31="ST",0,"Fejl i låntype")))</f>
        <v>417.57060294311481</v>
      </c>
      <c r="L14" s="241"/>
    </row>
    <row r="15" spans="2:257" x14ac:dyDescent="0.25">
      <c r="C15" s="264" t="str">
        <f>Indtast!B32</f>
        <v>Andet 2</v>
      </c>
      <c r="D15" s="281">
        <f>IF(Indtast!K32="a",IPMT(Indtast!F32,1,Indtast!E32,Indtast!D32)*-1,IF(Indtast!K32="s",Indtast!D32*Indtast!F32,IF(Indtast!K32="st",Indtast!D32*Indtast!F32,"Fejl i låntype")))</f>
        <v>180</v>
      </c>
      <c r="E15" s="281">
        <f>IF(Indtast!K32="a",PMT(Indtast!F32,Indtast!E32,Indtast!D32)*(-1)-D15,IF(Indtast!K32="S",Indtast!D32/Indtast!E32,IF(Indtast!K32="ST",0,"Fejl i låntype")))</f>
        <v>236.11459791157336</v>
      </c>
      <c r="F15" s="281">
        <f>IF(Indtast!$K32="a",IPMT(Indtast!$F32,2,Indtast!$E32,Indtast!$D32)*-1,IF(Indtast!$K32="s",(Indtast!$D32-E15)*Indtast!$F32,IF(Indtast!$K32="st",Indtast!$D32*Indtast!$F32,"Fejl i låntype")))</f>
        <v>151.6662482506112</v>
      </c>
      <c r="G15" s="282">
        <f>IF(Indtast!$K32="a",PMT(Indtast!$F32,Indtast!$E32,Indtast!$D32)*(-1)-F15,IF(Indtast!$K32="S",Indtast!$D32/Indtast!$E32,IF(Indtast!$K32="ST",0,"Fejl i låntype")))</f>
        <v>264.44834966096215</v>
      </c>
      <c r="H15" s="281">
        <f>IF(Indtast!$K32="a",IPMT(Indtast!$F32,3,Indtast!$E32,Indtast!$D32)*-1,IF(Indtast!$K32="s",(Indtast!$D32-2*E15)*Indtast!$F32,IF(Indtast!$K32="st",Indtast!$D32*Indtast!$F32,"Fejl i låntype")))</f>
        <v>119.93244629129576</v>
      </c>
      <c r="I15" s="281">
        <f>IF(Indtast!$K32="a",PMT(Indtast!$F32,Indtast!$E32,Indtast!$D32)*(-1)-H15,IF(Indtast!$K32="S",Indtast!$D32/Indtast!$E32,IF(Indtast!$K32="ST",0,"Fejl i låntype")))</f>
        <v>296.18215162027758</v>
      </c>
      <c r="J15" s="281">
        <f>IF(Indtast!$K32="a",IPMT(Indtast!$F32,4,Indtast!$E32,Indtast!$D32)*-1,IF(Indtast!$K32="s",(Indtast!$D32-2*G15)*Indtast!$F32,IF(Indtast!$K32="st",Indtast!$D32*Indtast!$F32,"Fejl i låntype")))</f>
        <v>84.390588096862444</v>
      </c>
      <c r="K15" s="281">
        <f>IF(Indtast!$K32="a",PMT(Indtast!$F32,Indtast!$E32,Indtast!$D32)*(-1)-J15,IF(Indtast!$K32="S",Indtast!$D32/Indtast!$E32,IF(Indtast!$K32="ST",0,"Fejl i låntype")))</f>
        <v>331.72400981471094</v>
      </c>
      <c r="L15" s="241"/>
    </row>
    <row r="16" spans="2:257" x14ac:dyDescent="0.25">
      <c r="C16" s="248" t="s">
        <v>240</v>
      </c>
      <c r="D16" s="249">
        <f t="shared" ref="D16:K16" si="0">SUM(D12:D15)</f>
        <v>4980</v>
      </c>
      <c r="E16" s="249">
        <f t="shared" si="0"/>
        <v>1525.5586020543587</v>
      </c>
      <c r="F16" s="249">
        <f t="shared" si="0"/>
        <v>4851.9933587282385</v>
      </c>
      <c r="G16" s="261">
        <f t="shared" si="0"/>
        <v>1653.5652433261198</v>
      </c>
      <c r="H16" s="249">
        <f t="shared" si="0"/>
        <v>4712.6683840567484</v>
      </c>
      <c r="I16" s="249">
        <f t="shared" si="0"/>
        <v>1792.8902179976108</v>
      </c>
      <c r="J16" s="249">
        <f t="shared" si="0"/>
        <v>4560.9686720447262</v>
      </c>
      <c r="K16" s="249">
        <f t="shared" si="0"/>
        <v>1944.5899300096326</v>
      </c>
      <c r="L16" s="241"/>
    </row>
    <row r="17" spans="2:13" x14ac:dyDescent="0.25">
      <c r="C17" s="241"/>
      <c r="D17" s="241"/>
      <c r="E17" s="244"/>
      <c r="F17" s="241"/>
      <c r="G17" s="243"/>
      <c r="H17" s="241"/>
      <c r="I17" s="241"/>
      <c r="J17" s="241"/>
      <c r="L17" s="241"/>
    </row>
    <row r="18" spans="2:13" ht="18.75" x14ac:dyDescent="0.3">
      <c r="C18" s="383" t="s">
        <v>241</v>
      </c>
      <c r="D18" s="241"/>
      <c r="E18" s="244"/>
      <c r="F18" s="241"/>
      <c r="G18" s="243"/>
      <c r="H18" s="241"/>
      <c r="I18" s="241"/>
      <c r="J18" s="241"/>
    </row>
    <row r="19" spans="2:13" x14ac:dyDescent="0.25">
      <c r="C19" s="241"/>
      <c r="D19" s="241"/>
      <c r="E19" s="244"/>
      <c r="F19" s="241"/>
      <c r="G19" s="243"/>
      <c r="H19" s="241"/>
      <c r="I19" s="241"/>
      <c r="J19" s="241"/>
    </row>
    <row r="20" spans="2:13" x14ac:dyDescent="0.25">
      <c r="C20" s="244" t="s">
        <v>242</v>
      </c>
      <c r="D20" s="250">
        <f>Resultater!H12</f>
        <v>51144000</v>
      </c>
      <c r="E20" s="241"/>
      <c r="F20" s="241"/>
      <c r="G20" s="243"/>
      <c r="H20" s="241"/>
      <c r="I20" s="241"/>
      <c r="J20" s="241"/>
    </row>
    <row r="21" spans="2:13" x14ac:dyDescent="0.25">
      <c r="C21" s="244" t="s">
        <v>243</v>
      </c>
      <c r="D21" s="250">
        <f>SUM(Resultater!F40:F42)</f>
        <v>2966000</v>
      </c>
      <c r="E21" s="241"/>
      <c r="F21" s="241"/>
      <c r="G21" s="243"/>
      <c r="H21" s="241"/>
      <c r="I21" s="241"/>
      <c r="J21" s="241"/>
    </row>
    <row r="22" spans="2:13" x14ac:dyDescent="0.25">
      <c r="C22" s="244" t="s">
        <v>229</v>
      </c>
      <c r="D22" s="251">
        <f>Indtast!L133-Indtast!L134</f>
        <v>2.0000000000000004E-2</v>
      </c>
      <c r="E22" s="241"/>
      <c r="F22" s="241"/>
      <c r="G22" s="243"/>
      <c r="H22" s="241"/>
      <c r="I22" s="241"/>
      <c r="J22" s="241"/>
    </row>
    <row r="23" spans="2:13" x14ac:dyDescent="0.25">
      <c r="C23" s="241"/>
      <c r="D23" s="241"/>
      <c r="E23" s="241"/>
      <c r="F23" s="241"/>
      <c r="G23" s="243"/>
      <c r="H23" s="241"/>
      <c r="I23" s="241"/>
      <c r="J23" s="241"/>
    </row>
    <row r="24" spans="2:13" x14ac:dyDescent="0.25">
      <c r="C24" s="241"/>
      <c r="D24" s="241"/>
      <c r="E24" s="241"/>
      <c r="F24" s="241"/>
      <c r="G24" s="243"/>
      <c r="H24" s="241"/>
      <c r="I24" s="241"/>
      <c r="J24" s="241"/>
    </row>
    <row r="25" spans="2:13" ht="15.75" thickBot="1" x14ac:dyDescent="0.3">
      <c r="C25" s="244" t="s">
        <v>244</v>
      </c>
      <c r="D25" s="252" t="s">
        <v>245</v>
      </c>
      <c r="E25" s="252" t="s">
        <v>229</v>
      </c>
      <c r="F25" s="252" t="s">
        <v>246</v>
      </c>
      <c r="G25" s="256" t="s">
        <v>247</v>
      </c>
      <c r="H25" s="257"/>
      <c r="I25" s="241"/>
      <c r="J25" s="241"/>
    </row>
    <row r="26" spans="2:13" ht="15.75" thickBot="1" x14ac:dyDescent="0.3">
      <c r="C26" s="264" t="s">
        <v>220</v>
      </c>
      <c r="D26" s="265">
        <f>SUM(D27:D51)</f>
        <v>74150000</v>
      </c>
      <c r="E26" s="265">
        <f>SUM(E27:E51)</f>
        <v>-11911284.001784705</v>
      </c>
      <c r="F26" s="265">
        <f>D20*-1</f>
        <v>-51144000</v>
      </c>
      <c r="G26" s="421">
        <f>VLOOKUP(1,$G$27:$H$52,2,FALSE)</f>
        <v>22</v>
      </c>
      <c r="H26" s="422"/>
      <c r="I26" s="241"/>
      <c r="J26" s="241"/>
    </row>
    <row r="27" spans="2:13" hidden="1" x14ac:dyDescent="0.25">
      <c r="B27" s="305">
        <f t="shared" ref="B27:B50" si="1">C27-1999</f>
        <v>24</v>
      </c>
      <c r="C27" s="244">
        <f>Indtast!D10</f>
        <v>2023</v>
      </c>
      <c r="D27" s="266">
        <f>IF(L27=1,$D$21-Indtast!$C$21*1000,$D$21)</f>
        <v>2966000</v>
      </c>
      <c r="E27" s="250">
        <f t="shared" ref="E27:E46" si="2">F26*D$22</f>
        <v>-1022880.0000000002</v>
      </c>
      <c r="F27" s="250">
        <f t="shared" ref="F27:F46" si="3">SUM(F26,D27:E27)</f>
        <v>-49200880</v>
      </c>
      <c r="G27" s="307">
        <f t="shared" ref="G27:G52" si="4">IF(F27&gt;0,1,0)</f>
        <v>0</v>
      </c>
      <c r="H27" s="307">
        <v>1</v>
      </c>
      <c r="I27" s="244"/>
      <c r="J27" s="244"/>
      <c r="K27" s="244"/>
      <c r="L27" s="306" t="b">
        <f>OR(B27=Indtast!$C$76,B27=2*Indtast!$C$76,B27=3*Indtast!$C$76,B27=4*Indtast!$C$76)</f>
        <v>0</v>
      </c>
      <c r="M27" s="253"/>
    </row>
    <row r="28" spans="2:13" hidden="1" x14ac:dyDescent="0.25">
      <c r="B28" s="305">
        <f t="shared" si="1"/>
        <v>25</v>
      </c>
      <c r="C28" s="244">
        <f t="shared" ref="C28:C52" si="5">C27+1</f>
        <v>2024</v>
      </c>
      <c r="D28" s="266">
        <f>IF(L28=1,$D$21-Indtast!$C$21*1000,$D$21)</f>
        <v>2966000</v>
      </c>
      <c r="E28" s="250">
        <f t="shared" si="2"/>
        <v>-984017.60000000021</v>
      </c>
      <c r="F28" s="250">
        <f t="shared" si="3"/>
        <v>-47218897.600000001</v>
      </c>
      <c r="G28" s="307">
        <f t="shared" si="4"/>
        <v>0</v>
      </c>
      <c r="H28" s="307">
        <v>2</v>
      </c>
      <c r="I28" s="244"/>
      <c r="J28" s="244"/>
      <c r="K28" s="244"/>
      <c r="L28" s="306" t="b">
        <f>OR(B28=Indtast!$C$76,B28=2*Indtast!$C$76,B28=3*Indtast!$C$76,B28=4*Indtast!$C$76)</f>
        <v>0</v>
      </c>
      <c r="M28" s="254"/>
    </row>
    <row r="29" spans="2:13" hidden="1" x14ac:dyDescent="0.25">
      <c r="B29" s="305">
        <f t="shared" si="1"/>
        <v>26</v>
      </c>
      <c r="C29" s="244">
        <f t="shared" si="5"/>
        <v>2025</v>
      </c>
      <c r="D29" s="266">
        <f>IF(L29=1,$D$21-Indtast!$C$21*1000,$D$21)</f>
        <v>2966000</v>
      </c>
      <c r="E29" s="250">
        <f t="shared" si="2"/>
        <v>-944377.95200000016</v>
      </c>
      <c r="F29" s="250">
        <f t="shared" si="3"/>
        <v>-45197275.552000001</v>
      </c>
      <c r="G29" s="307">
        <f t="shared" si="4"/>
        <v>0</v>
      </c>
      <c r="H29" s="307">
        <v>3</v>
      </c>
      <c r="I29" s="244"/>
      <c r="J29" s="244"/>
      <c r="K29" s="244"/>
      <c r="L29" s="306" t="b">
        <f>OR(B29=Indtast!$C$76,B29=2*Indtast!$C$76,B29=3*Indtast!$C$76,B29=4*Indtast!$C$76)</f>
        <v>0</v>
      </c>
    </row>
    <row r="30" spans="2:13" hidden="1" x14ac:dyDescent="0.25">
      <c r="B30" s="305">
        <f t="shared" si="1"/>
        <v>27</v>
      </c>
      <c r="C30" s="244">
        <f t="shared" si="5"/>
        <v>2026</v>
      </c>
      <c r="D30" s="266">
        <f>IF(L30=1,$D$21-Indtast!$C$21*1000,$D$21)</f>
        <v>2966000</v>
      </c>
      <c r="E30" s="250">
        <f t="shared" si="2"/>
        <v>-903945.51104000024</v>
      </c>
      <c r="F30" s="250">
        <f t="shared" si="3"/>
        <v>-43135221.063040003</v>
      </c>
      <c r="G30" s="307">
        <f t="shared" si="4"/>
        <v>0</v>
      </c>
      <c r="H30" s="307">
        <v>4</v>
      </c>
      <c r="I30" s="244"/>
      <c r="J30" s="244"/>
      <c r="K30" s="244"/>
      <c r="L30" s="306" t="b">
        <f>OR(B30=Indtast!$C$76,B30=2*Indtast!$C$76,B30=3*Indtast!$C$76,B30=4*Indtast!$C$76)</f>
        <v>0</v>
      </c>
    </row>
    <row r="31" spans="2:13" hidden="1" x14ac:dyDescent="0.25">
      <c r="B31" s="305">
        <f t="shared" si="1"/>
        <v>28</v>
      </c>
      <c r="C31" s="244">
        <f t="shared" si="5"/>
        <v>2027</v>
      </c>
      <c r="D31" s="266">
        <f>IF(L31=1,$D$21-Indtast!$C$21*1000,$D$21)</f>
        <v>2966000</v>
      </c>
      <c r="E31" s="250">
        <f t="shared" si="2"/>
        <v>-862704.42126080021</v>
      </c>
      <c r="F31" s="250">
        <f t="shared" si="3"/>
        <v>-41031925.484300807</v>
      </c>
      <c r="G31" s="307">
        <f t="shared" si="4"/>
        <v>0</v>
      </c>
      <c r="H31" s="307">
        <v>5</v>
      </c>
      <c r="I31" s="244"/>
      <c r="J31" s="244"/>
      <c r="K31" s="244"/>
      <c r="L31" s="306" t="b">
        <f>OR(B31=Indtast!$C$76,B31=2*Indtast!$C$76,B31=3*Indtast!$C$76,B31=4*Indtast!$C$76)</f>
        <v>0</v>
      </c>
    </row>
    <row r="32" spans="2:13" hidden="1" x14ac:dyDescent="0.25">
      <c r="B32" s="305">
        <f t="shared" si="1"/>
        <v>29</v>
      </c>
      <c r="C32" s="244">
        <f t="shared" si="5"/>
        <v>2028</v>
      </c>
      <c r="D32" s="266">
        <f>IF(L32=1,$D$21-Indtast!$C$21*1000,$D$21)</f>
        <v>2966000</v>
      </c>
      <c r="E32" s="250">
        <f t="shared" si="2"/>
        <v>-820638.50968601624</v>
      </c>
      <c r="F32" s="250">
        <f t="shared" si="3"/>
        <v>-38886563.993986823</v>
      </c>
      <c r="G32" s="307">
        <f t="shared" si="4"/>
        <v>0</v>
      </c>
      <c r="H32" s="307">
        <v>6</v>
      </c>
      <c r="I32" s="244"/>
      <c r="J32" s="244"/>
      <c r="K32" s="244"/>
      <c r="L32" s="306" t="b">
        <f>OR(B32=Indtast!$C$76,B32=2*Indtast!$C$76,B32=3*Indtast!$C$76,B32=4*Indtast!$C$76)</f>
        <v>0</v>
      </c>
    </row>
    <row r="33" spans="2:12" hidden="1" x14ac:dyDescent="0.25">
      <c r="B33" s="305">
        <f t="shared" si="1"/>
        <v>30</v>
      </c>
      <c r="C33" s="244">
        <f t="shared" si="5"/>
        <v>2029</v>
      </c>
      <c r="D33" s="266">
        <f>IF(L33=1,$D$21-Indtast!$C$21*1000,$D$21)</f>
        <v>2966000</v>
      </c>
      <c r="E33" s="250">
        <f t="shared" si="2"/>
        <v>-777731.2798797366</v>
      </c>
      <c r="F33" s="250">
        <f t="shared" si="3"/>
        <v>-36698295.273866557</v>
      </c>
      <c r="G33" s="307">
        <f t="shared" si="4"/>
        <v>0</v>
      </c>
      <c r="H33" s="307">
        <v>7</v>
      </c>
      <c r="I33" s="244"/>
      <c r="J33" s="244"/>
      <c r="K33" s="244"/>
      <c r="L33" s="306" t="b">
        <f>OR(B33=Indtast!$C$76,B33=2*Indtast!$C$76,B33=3*Indtast!$C$76,B33=4*Indtast!$C$76)</f>
        <v>1</v>
      </c>
    </row>
    <row r="34" spans="2:12" hidden="1" x14ac:dyDescent="0.25">
      <c r="B34" s="305">
        <f t="shared" si="1"/>
        <v>31</v>
      </c>
      <c r="C34" s="244">
        <f t="shared" si="5"/>
        <v>2030</v>
      </c>
      <c r="D34" s="266">
        <f>IF(L34=1,$D$21-Indtast!$C$21*1000,$D$21)</f>
        <v>2966000</v>
      </c>
      <c r="E34" s="250">
        <f t="shared" si="2"/>
        <v>-733965.90547733125</v>
      </c>
      <c r="F34" s="250">
        <f t="shared" si="3"/>
        <v>-34466261.179343887</v>
      </c>
      <c r="G34" s="307">
        <f t="shared" si="4"/>
        <v>0</v>
      </c>
      <c r="H34" s="307">
        <v>8</v>
      </c>
      <c r="I34" s="244"/>
      <c r="J34" s="244"/>
      <c r="K34" s="244"/>
      <c r="L34" s="306" t="b">
        <f>OR(B34=Indtast!$C$76,B34=2*Indtast!$C$76,B34=3*Indtast!$C$76,B34=4*Indtast!$C$76)</f>
        <v>0</v>
      </c>
    </row>
    <row r="35" spans="2:12" hidden="1" x14ac:dyDescent="0.25">
      <c r="B35" s="305">
        <f t="shared" si="1"/>
        <v>32</v>
      </c>
      <c r="C35" s="244">
        <f t="shared" si="5"/>
        <v>2031</v>
      </c>
      <c r="D35" s="266">
        <f>IF(L35=1,$D$21-Indtast!$C$21*1000,$D$21)</f>
        <v>2966000</v>
      </c>
      <c r="E35" s="250">
        <f t="shared" si="2"/>
        <v>-689325.22358687792</v>
      </c>
      <c r="F35" s="250">
        <f t="shared" si="3"/>
        <v>-32189586.402930766</v>
      </c>
      <c r="G35" s="307">
        <f t="shared" si="4"/>
        <v>0</v>
      </c>
      <c r="H35" s="307">
        <v>9</v>
      </c>
      <c r="I35" s="244"/>
      <c r="J35" s="244"/>
      <c r="K35" s="244"/>
      <c r="L35" s="306" t="b">
        <f>OR(B35=Indtast!$C$76,B35=2*Indtast!$C$76,B35=3*Indtast!$C$76,B35=4*Indtast!$C$76)</f>
        <v>0</v>
      </c>
    </row>
    <row r="36" spans="2:12" hidden="1" x14ac:dyDescent="0.25">
      <c r="B36" s="305">
        <f t="shared" si="1"/>
        <v>33</v>
      </c>
      <c r="C36" s="244">
        <f t="shared" si="5"/>
        <v>2032</v>
      </c>
      <c r="D36" s="266">
        <f>IF(L36=1,$D$21-Indtast!$C$21*1000,$D$21)</f>
        <v>2966000</v>
      </c>
      <c r="E36" s="250">
        <f t="shared" si="2"/>
        <v>-643791.72805861547</v>
      </c>
      <c r="F36" s="250">
        <f t="shared" si="3"/>
        <v>-29867378.13098938</v>
      </c>
      <c r="G36" s="307">
        <f t="shared" si="4"/>
        <v>0</v>
      </c>
      <c r="H36" s="307">
        <v>10</v>
      </c>
      <c r="I36" s="244"/>
      <c r="J36" s="244"/>
      <c r="K36" s="244"/>
      <c r="L36" s="306" t="b">
        <f>OR(B36=Indtast!$C$76,B36=2*Indtast!$C$76,B36=3*Indtast!$C$76,B36=4*Indtast!$C$76)</f>
        <v>0</v>
      </c>
    </row>
    <row r="37" spans="2:12" hidden="1" x14ac:dyDescent="0.25">
      <c r="B37" s="305">
        <f t="shared" si="1"/>
        <v>34</v>
      </c>
      <c r="C37" s="244">
        <f t="shared" si="5"/>
        <v>2033</v>
      </c>
      <c r="D37" s="266">
        <f>IF(L37=1,$D$21-Indtast!$C$21*1000,$D$21)</f>
        <v>2966000</v>
      </c>
      <c r="E37" s="250">
        <f t="shared" si="2"/>
        <v>-597347.56261978776</v>
      </c>
      <c r="F37" s="250">
        <f t="shared" si="3"/>
        <v>-27498725.693609167</v>
      </c>
      <c r="G37" s="307">
        <f t="shared" si="4"/>
        <v>0</v>
      </c>
      <c r="H37" s="307">
        <v>11</v>
      </c>
      <c r="I37" s="244"/>
      <c r="J37" s="244"/>
      <c r="K37" s="244"/>
      <c r="L37" s="306" t="b">
        <f>OR(B37=Indtast!$C$76,B37=2*Indtast!$C$76,B37=3*Indtast!$C$76,B37=4*Indtast!$C$76)</f>
        <v>0</v>
      </c>
    </row>
    <row r="38" spans="2:12" hidden="1" x14ac:dyDescent="0.25">
      <c r="B38" s="305">
        <f t="shared" si="1"/>
        <v>35</v>
      </c>
      <c r="C38" s="244">
        <f t="shared" si="5"/>
        <v>2034</v>
      </c>
      <c r="D38" s="266">
        <f>IF(L38=1,$D$21-Indtast!$C$21*1000,$D$21)</f>
        <v>2966000</v>
      </c>
      <c r="E38" s="250">
        <f t="shared" si="2"/>
        <v>-549974.51387218339</v>
      </c>
      <c r="F38" s="250">
        <f t="shared" si="3"/>
        <v>-25082700.207481351</v>
      </c>
      <c r="G38" s="307">
        <f t="shared" si="4"/>
        <v>0</v>
      </c>
      <c r="H38" s="307">
        <v>12</v>
      </c>
      <c r="I38" s="244"/>
      <c r="J38" s="244"/>
      <c r="K38" s="244"/>
      <c r="L38" s="306" t="b">
        <f>OR(B38=Indtast!$C$76,B38=2*Indtast!$C$76,B38=3*Indtast!$C$76,B38=4*Indtast!$C$76)</f>
        <v>0</v>
      </c>
    </row>
    <row r="39" spans="2:12" hidden="1" x14ac:dyDescent="0.25">
      <c r="B39" s="305">
        <f t="shared" si="1"/>
        <v>36</v>
      </c>
      <c r="C39" s="244">
        <f t="shared" si="5"/>
        <v>2035</v>
      </c>
      <c r="D39" s="266">
        <f>IF(L39=1,$D$21-Indtast!$C$21*1000,$D$21)</f>
        <v>2966000</v>
      </c>
      <c r="E39" s="250">
        <f t="shared" si="2"/>
        <v>-501654.00414962712</v>
      </c>
      <c r="F39" s="250">
        <f t="shared" si="3"/>
        <v>-22618354.211630978</v>
      </c>
      <c r="G39" s="307">
        <f t="shared" si="4"/>
        <v>0</v>
      </c>
      <c r="H39" s="307">
        <v>13</v>
      </c>
      <c r="I39" s="244"/>
      <c r="J39" s="244"/>
      <c r="K39" s="244"/>
      <c r="L39" s="306" t="b">
        <f>OR(B39=Indtast!$C$76,B39=2*Indtast!$C$76,B39=3*Indtast!$C$76,B39=4*Indtast!$C$76)</f>
        <v>0</v>
      </c>
    </row>
    <row r="40" spans="2:12" hidden="1" x14ac:dyDescent="0.25">
      <c r="B40" s="305">
        <f t="shared" si="1"/>
        <v>37</v>
      </c>
      <c r="C40" s="244">
        <f t="shared" si="5"/>
        <v>2036</v>
      </c>
      <c r="D40" s="266">
        <f>IF(L40=1,$D$21-Indtast!$C$21*1000,$D$21)</f>
        <v>2966000</v>
      </c>
      <c r="E40" s="250">
        <f t="shared" si="2"/>
        <v>-452367.08423261961</v>
      </c>
      <c r="F40" s="250">
        <f t="shared" si="3"/>
        <v>-20104721.295863599</v>
      </c>
      <c r="G40" s="307">
        <f t="shared" si="4"/>
        <v>0</v>
      </c>
      <c r="H40" s="307">
        <v>14</v>
      </c>
      <c r="I40" s="244"/>
      <c r="J40" s="244"/>
      <c r="K40" s="244"/>
      <c r="L40" s="306" t="b">
        <f>OR(B40=Indtast!$C$76,B40=2*Indtast!$C$76,B40=3*Indtast!$C$76,B40=4*Indtast!$C$76)</f>
        <v>0</v>
      </c>
    </row>
    <row r="41" spans="2:12" hidden="1" x14ac:dyDescent="0.25">
      <c r="B41" s="305">
        <f t="shared" si="1"/>
        <v>38</v>
      </c>
      <c r="C41" s="244">
        <f t="shared" si="5"/>
        <v>2037</v>
      </c>
      <c r="D41" s="266">
        <f>IF(L41=1,$D$21-Indtast!$C$21*1000,$D$21)</f>
        <v>2966000</v>
      </c>
      <c r="E41" s="250">
        <f t="shared" si="2"/>
        <v>-402094.42591727205</v>
      </c>
      <c r="F41" s="250">
        <f t="shared" si="3"/>
        <v>-17540815.72178087</v>
      </c>
      <c r="G41" s="307">
        <f t="shared" si="4"/>
        <v>0</v>
      </c>
      <c r="H41" s="307">
        <v>15</v>
      </c>
      <c r="I41" s="244"/>
      <c r="J41" s="244"/>
      <c r="K41" s="244"/>
      <c r="L41" s="306" t="b">
        <f>OR(B41=Indtast!$C$76,B41=2*Indtast!$C$76,B41=3*Indtast!$C$76,B41=4*Indtast!$C$76)</f>
        <v>0</v>
      </c>
    </row>
    <row r="42" spans="2:12" hidden="1" x14ac:dyDescent="0.25">
      <c r="B42" s="305">
        <f t="shared" si="1"/>
        <v>39</v>
      </c>
      <c r="C42" s="244">
        <f t="shared" si="5"/>
        <v>2038</v>
      </c>
      <c r="D42" s="266">
        <f>IF(L42=1,$D$21-Indtast!$C$21*1000,$D$21)</f>
        <v>2966000</v>
      </c>
      <c r="E42" s="250">
        <f t="shared" si="2"/>
        <v>-350816.31443561747</v>
      </c>
      <c r="F42" s="250">
        <f t="shared" si="3"/>
        <v>-14925632.036216488</v>
      </c>
      <c r="G42" s="307">
        <f t="shared" si="4"/>
        <v>0</v>
      </c>
      <c r="H42" s="307">
        <v>16</v>
      </c>
      <c r="I42" s="244"/>
      <c r="J42" s="244"/>
      <c r="K42" s="244"/>
      <c r="L42" s="306" t="b">
        <f>OR(B42=Indtast!$C$76,B42=2*Indtast!$C$76,B42=3*Indtast!$C$76,B42=4*Indtast!$C$76)</f>
        <v>0</v>
      </c>
    </row>
    <row r="43" spans="2:12" hidden="1" x14ac:dyDescent="0.25">
      <c r="B43" s="305">
        <f t="shared" si="1"/>
        <v>40</v>
      </c>
      <c r="C43" s="244">
        <f t="shared" si="5"/>
        <v>2039</v>
      </c>
      <c r="D43" s="266">
        <f>IF(L43=1,$D$21-Indtast!$C$21*1000,$D$21)</f>
        <v>2966000</v>
      </c>
      <c r="E43" s="250">
        <f t="shared" si="2"/>
        <v>-298512.6407243298</v>
      </c>
      <c r="F43" s="250">
        <f t="shared" si="3"/>
        <v>-12258144.676940817</v>
      </c>
      <c r="G43" s="307">
        <f t="shared" si="4"/>
        <v>0</v>
      </c>
      <c r="H43" s="307">
        <v>17</v>
      </c>
      <c r="I43" s="244"/>
      <c r="J43" s="244"/>
      <c r="K43" s="244"/>
      <c r="L43" s="306" t="b">
        <f>OR(B43=Indtast!$C$76,B43=2*Indtast!$C$76,B43=3*Indtast!$C$76,B43=4*Indtast!$C$76)</f>
        <v>1</v>
      </c>
    </row>
    <row r="44" spans="2:12" hidden="1" x14ac:dyDescent="0.25">
      <c r="B44" s="305">
        <f t="shared" si="1"/>
        <v>41</v>
      </c>
      <c r="C44" s="244">
        <f t="shared" si="5"/>
        <v>2040</v>
      </c>
      <c r="D44" s="266">
        <f>IF(L44=1,$D$21-Indtast!$C$21*1000,$D$21)</f>
        <v>2966000</v>
      </c>
      <c r="E44" s="250">
        <f t="shared" si="2"/>
        <v>-245162.8935388164</v>
      </c>
      <c r="F44" s="250">
        <f t="shared" si="3"/>
        <v>-9537307.5704796333</v>
      </c>
      <c r="G44" s="307">
        <f t="shared" si="4"/>
        <v>0</v>
      </c>
      <c r="H44" s="307">
        <v>18</v>
      </c>
      <c r="I44" s="244"/>
      <c r="J44" s="244"/>
      <c r="K44" s="244"/>
      <c r="L44" s="306" t="b">
        <f>OR(B44=Indtast!$C$76,B44=2*Indtast!$C$76,B44=3*Indtast!$C$76,B44=4*Indtast!$C$76)</f>
        <v>0</v>
      </c>
    </row>
    <row r="45" spans="2:12" hidden="1" x14ac:dyDescent="0.25">
      <c r="B45" s="305">
        <f t="shared" si="1"/>
        <v>42</v>
      </c>
      <c r="C45" s="244">
        <f t="shared" si="5"/>
        <v>2041</v>
      </c>
      <c r="D45" s="266">
        <f>IF(L45=1,$D$21-Indtast!$C$21*1000,$D$21)</f>
        <v>2966000</v>
      </c>
      <c r="E45" s="250">
        <f t="shared" si="2"/>
        <v>-190746.15140959271</v>
      </c>
      <c r="F45" s="250">
        <f t="shared" si="3"/>
        <v>-6762053.7218892258</v>
      </c>
      <c r="G45" s="307">
        <f t="shared" si="4"/>
        <v>0</v>
      </c>
      <c r="H45" s="307">
        <v>19</v>
      </c>
      <c r="I45" s="244"/>
      <c r="J45" s="244"/>
      <c r="K45" s="244"/>
      <c r="L45" s="306" t="b">
        <f>OR(B45=Indtast!$C$76,B45=2*Indtast!$C$76,B45=3*Indtast!$C$76,B45=4*Indtast!$C$76)</f>
        <v>0</v>
      </c>
    </row>
    <row r="46" spans="2:12" hidden="1" x14ac:dyDescent="0.25">
      <c r="B46" s="305">
        <f t="shared" si="1"/>
        <v>43</v>
      </c>
      <c r="C46" s="244">
        <f t="shared" si="5"/>
        <v>2042</v>
      </c>
      <c r="D46" s="266">
        <f>IF(L46=1,$D$21-Indtast!$C$21*1000,$D$21)</f>
        <v>2966000</v>
      </c>
      <c r="E46" s="250">
        <f t="shared" si="2"/>
        <v>-135241.07443778455</v>
      </c>
      <c r="F46" s="250">
        <f t="shared" si="3"/>
        <v>-3931294.7963270103</v>
      </c>
      <c r="G46" s="307">
        <f t="shared" si="4"/>
        <v>0</v>
      </c>
      <c r="H46" s="307">
        <v>20</v>
      </c>
      <c r="I46" s="244"/>
      <c r="J46" s="244"/>
      <c r="K46" s="244"/>
      <c r="L46" s="306" t="b">
        <f>OR(B46=Indtast!$C$76,B46=2*Indtast!$C$76,B46=3*Indtast!$C$76,B46=4*Indtast!$C$76)</f>
        <v>0</v>
      </c>
    </row>
    <row r="47" spans="2:12" hidden="1" x14ac:dyDescent="0.25">
      <c r="B47" s="305">
        <f t="shared" si="1"/>
        <v>44</v>
      </c>
      <c r="C47" s="244">
        <f t="shared" si="5"/>
        <v>2043</v>
      </c>
      <c r="D47" s="266">
        <f>IF(L47=1,$D$21-Indtast!$C$21*1000,$D$21)</f>
        <v>2966000</v>
      </c>
      <c r="E47" s="250">
        <f t="shared" ref="E47:E50" si="6">F46*D$22</f>
        <v>-78625.895926540223</v>
      </c>
      <c r="F47" s="250">
        <f t="shared" ref="F47:F50" si="7">SUM(F46,D47:E47)</f>
        <v>-1043920.6922535505</v>
      </c>
      <c r="G47" s="307">
        <f t="shared" si="4"/>
        <v>0</v>
      </c>
      <c r="H47" s="307">
        <v>21</v>
      </c>
      <c r="I47" s="244"/>
      <c r="J47" s="244"/>
      <c r="K47" s="244"/>
      <c r="L47" s="306" t="b">
        <f>OR(B47=Indtast!$C$76,B47=2*Indtast!$C$76,B47=3*Indtast!$C$76,B47=4*Indtast!$C$76)</f>
        <v>0</v>
      </c>
    </row>
    <row r="48" spans="2:12" hidden="1" x14ac:dyDescent="0.25">
      <c r="B48" s="305">
        <f t="shared" si="1"/>
        <v>45</v>
      </c>
      <c r="C48" s="244">
        <f t="shared" si="5"/>
        <v>2044</v>
      </c>
      <c r="D48" s="266">
        <f>IF(L48=1,$D$21-Indtast!$C$21*1000,$D$21)</f>
        <v>2966000</v>
      </c>
      <c r="E48" s="250">
        <f t="shared" si="6"/>
        <v>-20878.413845071016</v>
      </c>
      <c r="F48" s="250">
        <f t="shared" si="7"/>
        <v>1901200.8939013784</v>
      </c>
      <c r="G48" s="307">
        <f t="shared" si="4"/>
        <v>1</v>
      </c>
      <c r="H48" s="307">
        <v>22</v>
      </c>
      <c r="I48" s="244"/>
      <c r="J48" s="244"/>
      <c r="K48" s="244"/>
      <c r="L48" s="306" t="b">
        <f>OR(B48=Indtast!$C$76,B48=2*Indtast!$C$76,B48=3*Indtast!$C$76,B48=4*Indtast!$C$76)</f>
        <v>0</v>
      </c>
    </row>
    <row r="49" spans="2:12" hidden="1" x14ac:dyDescent="0.25">
      <c r="B49" s="305">
        <f t="shared" si="1"/>
        <v>46</v>
      </c>
      <c r="C49" s="244">
        <f t="shared" si="5"/>
        <v>2045</v>
      </c>
      <c r="D49" s="266">
        <f>IF(L49=1,$D$21-Indtast!$C$21*1000,$D$21)</f>
        <v>2966000</v>
      </c>
      <c r="E49" s="250">
        <f t="shared" si="6"/>
        <v>38024.017878027575</v>
      </c>
      <c r="F49" s="250">
        <f t="shared" si="7"/>
        <v>4905224.9117794055</v>
      </c>
      <c r="G49" s="307">
        <f t="shared" si="4"/>
        <v>1</v>
      </c>
      <c r="H49" s="307">
        <v>23</v>
      </c>
      <c r="I49" s="244"/>
      <c r="J49" s="244"/>
      <c r="K49" s="244"/>
      <c r="L49" s="306" t="b">
        <f>OR(B49=Indtast!$C$76,B49=2*Indtast!$C$76,B49=3*Indtast!$C$76,B49=4*Indtast!$C$76)</f>
        <v>0</v>
      </c>
    </row>
    <row r="50" spans="2:12" hidden="1" x14ac:dyDescent="0.25">
      <c r="B50" s="305">
        <f t="shared" si="1"/>
        <v>47</v>
      </c>
      <c r="C50" s="244">
        <f t="shared" si="5"/>
        <v>2046</v>
      </c>
      <c r="D50" s="266">
        <f>IF(L50=1,$D$21-Indtast!$C$21*1000,$D$21)</f>
        <v>2966000</v>
      </c>
      <c r="E50" s="250">
        <f t="shared" si="6"/>
        <v>98104.498235588137</v>
      </c>
      <c r="F50" s="250">
        <f t="shared" si="7"/>
        <v>7969329.4100149935</v>
      </c>
      <c r="G50" s="307">
        <f t="shared" si="4"/>
        <v>1</v>
      </c>
      <c r="H50" s="307">
        <v>24</v>
      </c>
      <c r="I50" s="244"/>
      <c r="J50" s="244"/>
      <c r="K50" s="244"/>
      <c r="L50" s="306" t="b">
        <f>OR(B50=Indtast!$C$76,B50=2*Indtast!$C$76,B50=3*Indtast!$C$76,B50=4*Indtast!$C$76)</f>
        <v>0</v>
      </c>
    </row>
    <row r="51" spans="2:12" hidden="1" x14ac:dyDescent="0.25">
      <c r="B51" s="305"/>
      <c r="C51" s="244">
        <f t="shared" si="5"/>
        <v>2047</v>
      </c>
      <c r="D51" s="266">
        <f>IF(L51=1,$D$21-Indtast!$C$21*1000,$D$21)</f>
        <v>2966000</v>
      </c>
      <c r="E51" s="250">
        <f t="shared" ref="E51:E52" si="8">F50*D$22</f>
        <v>159386.58820029991</v>
      </c>
      <c r="F51" s="250">
        <f t="shared" ref="F51:F52" si="9">SUM(F50,D51:E51)</f>
        <v>11094715.998215294</v>
      </c>
      <c r="G51" s="307">
        <f t="shared" si="4"/>
        <v>1</v>
      </c>
      <c r="H51" s="307">
        <v>25</v>
      </c>
      <c r="I51" s="244"/>
      <c r="J51" s="244"/>
      <c r="K51" s="244"/>
      <c r="L51" s="306" t="b">
        <f>OR(B51=Indtast!$C$76,B51=2*Indtast!$C$76,B51=3*Indtast!$C$76,B51=4*Indtast!$C$76)</f>
        <v>0</v>
      </c>
    </row>
    <row r="52" spans="2:12" hidden="1" x14ac:dyDescent="0.25">
      <c r="B52" s="305"/>
      <c r="C52" s="244">
        <f t="shared" si="5"/>
        <v>2048</v>
      </c>
      <c r="D52" s="266">
        <f>IF(L52=1,$D$21-Indtast!$C$21*1000,$D$21)</f>
        <v>2966000</v>
      </c>
      <c r="E52" s="250">
        <f t="shared" si="8"/>
        <v>221894.31996430591</v>
      </c>
      <c r="F52" s="250">
        <f t="shared" si="9"/>
        <v>14282610.3181796</v>
      </c>
      <c r="G52" s="307">
        <f t="shared" si="4"/>
        <v>1</v>
      </c>
      <c r="H52" s="307">
        <v>26</v>
      </c>
      <c r="I52" s="244"/>
      <c r="J52" s="244"/>
      <c r="K52" s="244"/>
      <c r="L52" s="306" t="b">
        <f>OR(B52=Indtast!$C$76,B52=2*Indtast!$C$76,B52=3*Indtast!$C$76,B52=4*Indtast!$C$76)</f>
        <v>0</v>
      </c>
    </row>
  </sheetData>
  <mergeCells count="2">
    <mergeCell ref="G26:H26"/>
    <mergeCell ref="C1:K1"/>
  </mergeCells>
  <phoneticPr fontId="1" type="noConversion"/>
  <pageMargins left="0.25" right="0.27" top="1" bottom="1" header="0.5" footer="0.5"/>
  <pageSetup paperSize="9" scale="98"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7</vt:i4>
      </vt:variant>
      <vt:variant>
        <vt:lpstr>Navngivne områder</vt:lpstr>
      </vt:variant>
      <vt:variant>
        <vt:i4>9</vt:i4>
      </vt:variant>
    </vt:vector>
  </HeadingPairs>
  <TitlesOfParts>
    <vt:vector size="16" baseType="lpstr">
      <vt:lpstr>Introduktion</vt:lpstr>
      <vt:lpstr>Vejledning</vt:lpstr>
      <vt:lpstr>Indtast</vt:lpstr>
      <vt:lpstr>Resultater</vt:lpstr>
      <vt:lpstr>3  aars</vt:lpstr>
      <vt:lpstr>Investering</vt:lpstr>
      <vt:lpstr>Finans</vt:lpstr>
      <vt:lpstr>Vejledning!BM_1_</vt:lpstr>
      <vt:lpstr>Budget</vt:lpstr>
      <vt:lpstr>Vejledning!FilNavnBoks1</vt:lpstr>
      <vt:lpstr>Resultater</vt:lpstr>
      <vt:lpstr>Tilbage</vt:lpstr>
      <vt:lpstr>'3  aars'!Udskriftsområde</vt:lpstr>
      <vt:lpstr>Indtast!Udskriftsområde</vt:lpstr>
      <vt:lpstr>Resultater!Udskriftsområde</vt:lpstr>
      <vt:lpstr>Vejledning!Udskriftsområde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Jørgensen</dc:creator>
  <cp:lastModifiedBy>Sanne Trampedach</cp:lastModifiedBy>
  <cp:lastPrinted>2022-11-15T13:09:06Z</cp:lastPrinted>
  <dcterms:created xsi:type="dcterms:W3CDTF">2022-02-14T11:15:49Z</dcterms:created>
  <dcterms:modified xsi:type="dcterms:W3CDTF">2022-12-20T06:21:44Z</dcterms:modified>
</cp:coreProperties>
</file>