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codeName="Denne_projektmappe"/>
  <mc:AlternateContent xmlns:mc="http://schemas.openxmlformats.org/markup-compatibility/2006">
    <mc:Choice Requires="x15">
      <x15ac:absPath xmlns:x15ac="http://schemas.microsoft.com/office/spreadsheetml/2010/11/ac" url="L:\Ledelse&amp;Økonomi\LandbrugsInfo\01-LandbrugsInfo\23-Promille\"/>
    </mc:Choice>
  </mc:AlternateContent>
  <xr:revisionPtr revIDLastSave="0" documentId="8_{669307C3-153D-4725-B5C0-A0FE74D28FD9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Information" sheetId="6" r:id="rId1"/>
    <sheet name="Vejledning" sheetId="5" r:id="rId2"/>
    <sheet name="Indtastningsark" sheetId="1" r:id="rId3"/>
  </sheets>
  <definedNames>
    <definedName name="Investering">Indtastningsark!#REF!</definedName>
    <definedName name="_xlnm.Print_Area" localSheetId="2">Indtastningsark!$A$1:$D$49,Indtastningsark!$A$1:$Q$37,Indtastningsark!$F$5:$Y$37,Indtastningsark!$F$40:$Q$72,Indtastningsark!$K$75:$Q$107</definedName>
    <definedName name="_xlnm.Print_Area" localSheetId="1">Vejledning!$A$1:$U$50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Y20" i="1" l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S114" i="1"/>
  <c r="T114" i="1" s="1"/>
  <c r="U114" i="1" s="1"/>
  <c r="V114" i="1" s="1"/>
  <c r="W114" i="1" s="1"/>
  <c r="T113" i="1"/>
  <c r="U113" i="1"/>
  <c r="V113" i="1"/>
  <c r="W113" i="1"/>
  <c r="S113" i="1"/>
  <c r="S115" i="1" s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115" i="1" l="1"/>
  <c r="U115" i="1" s="1"/>
  <c r="V115" i="1" s="1"/>
  <c r="W115" i="1" s="1"/>
  <c r="G8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G9" i="1"/>
  <c r="G17" i="1"/>
  <c r="G15" i="1"/>
  <c r="H7" i="1" l="1"/>
  <c r="H8" i="1" l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H53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L88" i="1"/>
  <c r="G53" i="1" s="1"/>
  <c r="L89" i="1"/>
  <c r="G54" i="1" s="1"/>
  <c r="L90" i="1"/>
  <c r="G55" i="1" s="1"/>
  <c r="L91" i="1"/>
  <c r="G56" i="1" s="1"/>
  <c r="L92" i="1"/>
  <c r="G57" i="1" s="1"/>
  <c r="L93" i="1"/>
  <c r="G58" i="1" s="1"/>
  <c r="L94" i="1"/>
  <c r="G59" i="1" s="1"/>
  <c r="L95" i="1"/>
  <c r="G60" i="1" s="1"/>
  <c r="L96" i="1"/>
  <c r="G61" i="1" s="1"/>
  <c r="L97" i="1"/>
  <c r="G62" i="1" s="1"/>
  <c r="L98" i="1"/>
  <c r="G63" i="1" s="1"/>
  <c r="L99" i="1"/>
  <c r="G64" i="1" s="1"/>
  <c r="L100" i="1"/>
  <c r="G65" i="1" s="1"/>
  <c r="L101" i="1"/>
  <c r="G66" i="1" s="1"/>
  <c r="L102" i="1"/>
  <c r="G67" i="1" s="1"/>
  <c r="L103" i="1"/>
  <c r="G68" i="1" s="1"/>
  <c r="L104" i="1"/>
  <c r="G69" i="1" s="1"/>
  <c r="L105" i="1"/>
  <c r="G70" i="1" s="1"/>
  <c r="L106" i="1"/>
  <c r="G71" i="1" s="1"/>
  <c r="L107" i="1"/>
  <c r="G72" i="1" s="1"/>
  <c r="G18" i="1" l="1"/>
  <c r="H42" i="1" l="1"/>
  <c r="O77" i="1" s="1"/>
  <c r="I42" i="1"/>
  <c r="Q77" i="1" s="1"/>
  <c r="G42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G10" i="1"/>
  <c r="G11" i="1"/>
  <c r="G12" i="1"/>
  <c r="G13" i="1"/>
  <c r="G14" i="1"/>
  <c r="G16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C20" i="1" l="1"/>
  <c r="C26" i="1" s="1"/>
  <c r="N79" i="1"/>
  <c r="N78" i="1"/>
  <c r="N82" i="1"/>
  <c r="N81" i="1"/>
  <c r="N80" i="1"/>
  <c r="C21" i="1"/>
  <c r="M77" i="1"/>
  <c r="L78" i="1" s="1"/>
  <c r="C22" i="1" l="1"/>
  <c r="G43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N54" i="1"/>
  <c r="Q42" i="1"/>
  <c r="P43" i="1" s="1"/>
  <c r="O42" i="1"/>
  <c r="N43" i="1" s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I7" i="1"/>
  <c r="D20" i="1" s="1"/>
  <c r="D26" i="1" s="1"/>
  <c r="O7" i="1"/>
  <c r="G7" i="1"/>
  <c r="B20" i="1" l="1"/>
  <c r="B26" i="1" s="1"/>
  <c r="M7" i="1"/>
  <c r="N8" i="1"/>
  <c r="O8" i="1" s="1"/>
  <c r="V9" i="1" s="1"/>
  <c r="W7" i="1"/>
  <c r="V8" i="1"/>
  <c r="B21" i="1"/>
  <c r="Q7" i="1"/>
  <c r="D21" i="1"/>
  <c r="D22" i="1"/>
  <c r="M78" i="1"/>
  <c r="H44" i="1"/>
  <c r="H45" i="1"/>
  <c r="H46" i="1"/>
  <c r="H51" i="1"/>
  <c r="M42" i="1"/>
  <c r="B22" i="1" l="1"/>
  <c r="B25" i="1"/>
  <c r="W8" i="1"/>
  <c r="W9" i="1" s="1"/>
  <c r="L8" i="1"/>
  <c r="U7" i="1"/>
  <c r="T8" i="1"/>
  <c r="U8" i="1" s="1"/>
  <c r="P8" i="1"/>
  <c r="Y7" i="1"/>
  <c r="X8" i="1"/>
  <c r="P88" i="1"/>
  <c r="I53" i="1" s="1"/>
  <c r="P82" i="1"/>
  <c r="I47" i="1" s="1"/>
  <c r="P87" i="1"/>
  <c r="P89" i="1"/>
  <c r="P84" i="1"/>
  <c r="P86" i="1"/>
  <c r="I51" i="1" s="1"/>
  <c r="P85" i="1"/>
  <c r="I50" i="1" s="1"/>
  <c r="P78" i="1"/>
  <c r="I43" i="1" s="1"/>
  <c r="P80" i="1"/>
  <c r="I45" i="1" s="1"/>
  <c r="P79" i="1"/>
  <c r="I44" i="1" s="1"/>
  <c r="P81" i="1"/>
  <c r="I46" i="1" s="1"/>
  <c r="P83" i="1"/>
  <c r="I48" i="1" s="1"/>
  <c r="L79" i="1"/>
  <c r="G44" i="1" s="1"/>
  <c r="O78" i="1"/>
  <c r="O79" i="1" s="1"/>
  <c r="O80" i="1" s="1"/>
  <c r="O81" i="1" s="1"/>
  <c r="O82" i="1" s="1"/>
  <c r="O83" i="1" s="1"/>
  <c r="O84" i="1" s="1"/>
  <c r="O85" i="1" s="1"/>
  <c r="O86" i="1" s="1"/>
  <c r="O87" i="1" s="1"/>
  <c r="H43" i="1"/>
  <c r="Y8" i="1" l="1"/>
  <c r="O43" i="1"/>
  <c r="H52" i="1"/>
  <c r="O88" i="1"/>
  <c r="O89" i="1" s="1"/>
  <c r="H54" i="1" s="1"/>
  <c r="H49" i="1"/>
  <c r="H47" i="1"/>
  <c r="H48" i="1"/>
  <c r="H50" i="1"/>
  <c r="M79" i="1"/>
  <c r="Q78" i="1"/>
  <c r="Q79" i="1" s="1"/>
  <c r="Q80" i="1" s="1"/>
  <c r="Q81" i="1" s="1"/>
  <c r="Q82" i="1" s="1"/>
  <c r="Q83" i="1" s="1"/>
  <c r="Q84" i="1" s="1"/>
  <c r="Q85" i="1" s="1"/>
  <c r="Q86" i="1" s="1"/>
  <c r="Q87" i="1" s="1"/>
  <c r="Q88" i="1" s="1"/>
  <c r="C9" i="1"/>
  <c r="C11" i="1" s="1"/>
  <c r="D9" i="1"/>
  <c r="D11" i="1" s="1"/>
  <c r="B9" i="1"/>
  <c r="B11" i="1" s="1"/>
  <c r="C47" i="1" l="1"/>
  <c r="C49" i="1" s="1"/>
  <c r="C48" i="1"/>
  <c r="I49" i="1"/>
  <c r="I52" i="1"/>
  <c r="Q89" i="1"/>
  <c r="I54" i="1" s="1"/>
  <c r="L80" i="1"/>
  <c r="G45" i="1" s="1"/>
  <c r="Q43" i="1"/>
  <c r="N44" i="1"/>
  <c r="O44" i="1" s="1"/>
  <c r="Q8" i="1"/>
  <c r="X9" i="1" s="1"/>
  <c r="Y9" i="1" s="1"/>
  <c r="P44" i="1" l="1"/>
  <c r="Q44" i="1" s="1"/>
  <c r="P45" i="1" s="1"/>
  <c r="Q45" i="1" s="1"/>
  <c r="D47" i="1"/>
  <c r="D48" i="1"/>
  <c r="M80" i="1"/>
  <c r="P9" i="1"/>
  <c r="Q9" i="1" s="1"/>
  <c r="N45" i="1"/>
  <c r="N9" i="1"/>
  <c r="C29" i="1"/>
  <c r="D29" i="1"/>
  <c r="P10" i="1" l="1"/>
  <c r="Q10" i="1" s="1"/>
  <c r="X10" i="1"/>
  <c r="Y10" i="1" s="1"/>
  <c r="D49" i="1"/>
  <c r="P46" i="1"/>
  <c r="Q46" i="1" s="1"/>
  <c r="P47" i="1" s="1"/>
  <c r="Q47" i="1" s="1"/>
  <c r="P48" i="1" s="1"/>
  <c r="Q48" i="1" s="1"/>
  <c r="P49" i="1" s="1"/>
  <c r="Q49" i="1" s="1"/>
  <c r="P50" i="1" s="1"/>
  <c r="Q50" i="1" s="1"/>
  <c r="P51" i="1" s="1"/>
  <c r="Q51" i="1" s="1"/>
  <c r="P52" i="1" s="1"/>
  <c r="Q52" i="1" s="1"/>
  <c r="P53" i="1" s="1"/>
  <c r="Q53" i="1" s="1"/>
  <c r="P54" i="1" s="1"/>
  <c r="Q54" i="1" s="1"/>
  <c r="O9" i="1"/>
  <c r="O45" i="1"/>
  <c r="N49" i="1"/>
  <c r="N18" i="1"/>
  <c r="L81" i="1"/>
  <c r="G46" i="1" s="1"/>
  <c r="D25" i="1"/>
  <c r="C25" i="1"/>
  <c r="N10" i="1" l="1"/>
  <c r="O10" i="1" s="1"/>
  <c r="V10" i="1"/>
  <c r="W10" i="1" s="1"/>
  <c r="P11" i="1"/>
  <c r="Q11" i="1" s="1"/>
  <c r="X11" i="1"/>
  <c r="Y11" i="1" s="1"/>
  <c r="N46" i="1"/>
  <c r="O46" i="1" s="1"/>
  <c r="N47" i="1" s="1"/>
  <c r="N50" i="1"/>
  <c r="N51" i="1" s="1"/>
  <c r="N52" i="1" s="1"/>
  <c r="N53" i="1" s="1"/>
  <c r="M81" i="1"/>
  <c r="P12" i="1" l="1"/>
  <c r="Q12" i="1" s="1"/>
  <c r="X12" i="1"/>
  <c r="Y12" i="1" s="1"/>
  <c r="N11" i="1"/>
  <c r="O11" i="1" s="1"/>
  <c r="V12" i="1" s="1"/>
  <c r="V11" i="1"/>
  <c r="W11" i="1" s="1"/>
  <c r="N48" i="1"/>
  <c r="O47" i="1"/>
  <c r="L82" i="1"/>
  <c r="G47" i="1" s="1"/>
  <c r="W12" i="1" l="1"/>
  <c r="N12" i="1"/>
  <c r="P13" i="1"/>
  <c r="Q13" i="1" s="1"/>
  <c r="X13" i="1"/>
  <c r="Y13" i="1" s="1"/>
  <c r="N13" i="1"/>
  <c r="N14" i="1" s="1"/>
  <c r="N15" i="1" s="1"/>
  <c r="N16" i="1" s="1"/>
  <c r="N17" i="1" s="1"/>
  <c r="O12" i="1"/>
  <c r="M82" i="1"/>
  <c r="P14" i="1" l="1"/>
  <c r="Q14" i="1" s="1"/>
  <c r="X14" i="1"/>
  <c r="Y14" i="1" s="1"/>
  <c r="C27" i="1" a="1"/>
  <c r="C27" i="1" s="1"/>
  <c r="C28" i="1"/>
  <c r="L83" i="1"/>
  <c r="G48" i="1" s="1"/>
  <c r="P15" i="1" l="1"/>
  <c r="Q15" i="1" s="1"/>
  <c r="X15" i="1"/>
  <c r="Y15" i="1" s="1"/>
  <c r="M83" i="1"/>
  <c r="X16" i="1" l="1"/>
  <c r="Y16" i="1" s="1"/>
  <c r="P16" i="1"/>
  <c r="Q16" i="1" s="1"/>
  <c r="L84" i="1"/>
  <c r="G49" i="1" s="1"/>
  <c r="P17" i="1" l="1"/>
  <c r="Q17" i="1" s="1"/>
  <c r="X17" i="1"/>
  <c r="Y17" i="1" s="1"/>
  <c r="M84" i="1"/>
  <c r="X18" i="1" l="1"/>
  <c r="Y18" i="1" s="1"/>
  <c r="P18" i="1"/>
  <c r="Q18" i="1" s="1"/>
  <c r="L85" i="1"/>
  <c r="X19" i="1" l="1"/>
  <c r="Y19" i="1" s="1"/>
  <c r="P19" i="1"/>
  <c r="Q19" i="1" s="1"/>
  <c r="G50" i="1"/>
  <c r="M85" i="1"/>
  <c r="D28" i="1" l="1"/>
  <c r="D27" i="1" a="1"/>
  <c r="D27" i="1" s="1"/>
  <c r="L86" i="1"/>
  <c r="G51" i="1" s="1"/>
  <c r="M86" i="1" l="1"/>
  <c r="L87" i="1"/>
  <c r="M87" i="1" l="1"/>
  <c r="G52" i="1" s="1"/>
  <c r="B47" i="1" s="1"/>
  <c r="B49" i="1" s="1"/>
  <c r="M8" i="1"/>
  <c r="T9" i="1" s="1"/>
  <c r="U9" i="1" s="1"/>
  <c r="B29" i="1"/>
  <c r="L43" i="1"/>
  <c r="M43" i="1" s="1"/>
  <c r="L9" i="1" l="1"/>
  <c r="M9" i="1" s="1"/>
  <c r="T10" i="1" s="1"/>
  <c r="U10" i="1" s="1"/>
  <c r="B48" i="1"/>
  <c r="L44" i="1"/>
  <c r="M44" i="1" s="1"/>
  <c r="L45" i="1" s="1"/>
  <c r="M45" i="1" s="1"/>
  <c r="L10" i="1" l="1"/>
  <c r="M10" i="1" s="1"/>
  <c r="L11" i="1" s="1"/>
  <c r="M11" i="1" s="1"/>
  <c r="L46" i="1"/>
  <c r="M46" i="1" s="1"/>
  <c r="T11" i="1" l="1"/>
  <c r="U11" i="1" s="1"/>
  <c r="L12" i="1"/>
  <c r="M12" i="1" s="1"/>
  <c r="T12" i="1"/>
  <c r="L47" i="1"/>
  <c r="M47" i="1" s="1"/>
  <c r="L48" i="1" s="1"/>
  <c r="M48" i="1" s="1"/>
  <c r="L49" i="1" s="1"/>
  <c r="M49" i="1" s="1"/>
  <c r="L50" i="1" s="1"/>
  <c r="M50" i="1" s="1"/>
  <c r="L51" i="1" s="1"/>
  <c r="M51" i="1" s="1"/>
  <c r="L52" i="1" s="1"/>
  <c r="M52" i="1" s="1"/>
  <c r="U12" i="1" l="1"/>
  <c r="L13" i="1"/>
  <c r="M13" i="1" s="1"/>
  <c r="T13" i="1"/>
  <c r="U13" i="1" s="1"/>
  <c r="L14" i="1" l="1"/>
  <c r="M14" i="1" s="1"/>
  <c r="T14" i="1"/>
  <c r="U14" i="1" s="1"/>
  <c r="L15" i="1" l="1"/>
  <c r="M15" i="1" s="1"/>
  <c r="T15" i="1"/>
  <c r="U15" i="1" s="1"/>
  <c r="L16" i="1" l="1"/>
  <c r="M16" i="1" s="1"/>
  <c r="T16" i="1"/>
  <c r="U16" i="1" s="1"/>
  <c r="L17" i="1" l="1"/>
  <c r="M17" i="1" s="1"/>
  <c r="B28" i="1" s="1"/>
  <c r="T17" i="1"/>
  <c r="U17" i="1" s="1"/>
  <c r="B27" i="1" a="1"/>
  <c r="B2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<sst xmlns="http://schemas.openxmlformats.org/spreadsheetml/2006/main" count="145" uniqueCount="89">
  <si>
    <t>Dækningsbidrag</t>
  </si>
  <si>
    <t>Dækningsbidrag efter CO2 afgift</t>
  </si>
  <si>
    <t>Levetid, år</t>
  </si>
  <si>
    <t>År</t>
  </si>
  <si>
    <t>Afskrivninger</t>
  </si>
  <si>
    <t>Alternativ 1</t>
  </si>
  <si>
    <t>Alternativ 2</t>
  </si>
  <si>
    <t>Alternativ 3</t>
  </si>
  <si>
    <t>CO2 afgift</t>
  </si>
  <si>
    <t>Investeringsbeløb</t>
  </si>
  <si>
    <t>Restværdi</t>
  </si>
  <si>
    <t>Restværdi ved udløb</t>
  </si>
  <si>
    <t>Kalkulationsrente/Afkastkrav</t>
  </si>
  <si>
    <t>Skattesats</t>
  </si>
  <si>
    <t>Likviditet</t>
  </si>
  <si>
    <t>Pengestrøm før skat</t>
  </si>
  <si>
    <t>Nutidsværdi før skat</t>
  </si>
  <si>
    <t>Annuitetsmetode før skat</t>
  </si>
  <si>
    <t>Afskrivningsmetode</t>
  </si>
  <si>
    <t>Vækst i DB</t>
  </si>
  <si>
    <t>Nulpunkter før skat</t>
  </si>
  <si>
    <t>Vækst i kapacitetsomkostninger</t>
  </si>
  <si>
    <t>Kapitalomk.</t>
  </si>
  <si>
    <t>Lineær</t>
  </si>
  <si>
    <t>Saldo</t>
  </si>
  <si>
    <t>Ingen</t>
  </si>
  <si>
    <t>Afskrivning</t>
  </si>
  <si>
    <t>Afskrivningsprocent</t>
  </si>
  <si>
    <t>Kontante kapacitetsomkostninger</t>
  </si>
  <si>
    <t>Inflation</t>
  </si>
  <si>
    <t>Formål</t>
  </si>
  <si>
    <t>Formålet med regnearket er at vurdere et eller flere projekters rentabilitet.</t>
  </si>
  <si>
    <t>Vejledning</t>
  </si>
  <si>
    <t>Der tages udgangspunkt i et projektets/investerings dækningsbidrag, som indtastes i række 3</t>
  </si>
  <si>
    <t>Der er mulighed for at indtaste en evt. CO2 afgift i række 4, som i dette tilfælde forudsættes fratrukket dækningsbidraget.</t>
  </si>
  <si>
    <t>Det giver et dækningsbidrag efter evt. CO2 afgift, som beregnes i række 5.</t>
  </si>
  <si>
    <t>For at få udgangspunktet for rentablitetsberegning, skal projektees kapacitetesomkostninger indtastes i række 6.</t>
  </si>
  <si>
    <t>I række 7 beregnes en pengestrøm fra dækningsbidraget minus kapacitetsomkostningerne, som reelt også er resultatet før afskrivninger, renter og skat (EBITDA)</t>
  </si>
  <si>
    <t>I række 9 indtastes projektets/investeringens anskaffelsessum</t>
  </si>
  <si>
    <t xml:space="preserve">I række 10 indtastes projektes levetid, og i række 11 indtastes en evt. restværdi ved udløb af projektet. </t>
  </si>
  <si>
    <t>For at vurdere rentabiliteten i et projekt, skal der indtastes en kalkulationsrente eller et afkastkrav. Dette gøres i række 13.</t>
  </si>
  <si>
    <t>Ønskes at beregningen skal tage hensyn til inflation, indtastet en inflationssats i række 14. Inflationen fratrækkes indtastet afkastkrav i række 13 ved beregning af nutidsværdi, intern rente og annuitetsmetoden.</t>
  </si>
  <si>
    <t>Indtastning til beregning af rentabilitetsnøgletal før skat</t>
  </si>
  <si>
    <t>I række 16-18 beregnes rentabilitetsnøgletal før skat</t>
  </si>
  <si>
    <t>Annuitetsmetoden før skat beregnes i række 18</t>
  </si>
  <si>
    <t>Nutidsværdi før skat beregnes i række 16</t>
  </si>
  <si>
    <t>Effektiv rente før skat beregnes i række 17</t>
  </si>
  <si>
    <t>Rentabilitetsberegninger før skat</t>
  </si>
  <si>
    <t>I række 21 beregnes, hvor stort investeringsbeløbet skal være før projektets nutidsværdi er nul</t>
  </si>
  <si>
    <t>I række 22 beregnes, hvor stort dækningsbidraget skal være før projektets nutidsværdi er nul</t>
  </si>
  <si>
    <t>I række 23 beregnes projektes tilbagebetalingstid målt ud fra investeringens likviditet</t>
  </si>
  <si>
    <t>I række 24 beregnes, hvor stort restbeløbet skal være før projektets nutidsværdi er nul. Her betyder et negativt beløb, at projektets indtjening kan dække, at man betaler for at afskaffe investeringen.</t>
  </si>
  <si>
    <t xml:space="preserve">I række 25 beregnes hvor stor et afkastkrav kan være inden projektetet ikke længere er rentabelt. Nulpunktet er det samme som den interne rente. </t>
  </si>
  <si>
    <t>I række 28 kan indtastes et ønket vækstmål i kapacitetsomkostninger</t>
  </si>
  <si>
    <t>I række 27 kan indtastes et ønsket vækstmål for dækningsbidraget</t>
  </si>
  <si>
    <t>Indtastning til beregning af rentabilitetsnøgletal efter skat</t>
  </si>
  <si>
    <t>Rentabilitetsberegninger efter skat</t>
  </si>
  <si>
    <t xml:space="preserve">I række 21-26 beregnes forskellige nulpunkter til vurdering af projekternes følsomhed. </t>
  </si>
  <si>
    <t>Til hjælp beregner arket fire rentabilitetsmetoder og forskelllige nøgletal i kolonne A-D, mens likviditet før og efter skat og afskrivninger beregnes i kolonne E-Q.</t>
  </si>
  <si>
    <t>Pengestrøm efter skat og afskrivninger</t>
  </si>
  <si>
    <t>Ønskes at beregne rentabiliteten efter afskrivninger og skat er det muligt i række 38-45</t>
  </si>
  <si>
    <t>I række 39 indtastets projektes gennemsnitlige skattesats</t>
  </si>
  <si>
    <t>I række 40 indtastets projektes afskrivningsmetode. Her kan vælges enten "ingen", "lineær" eller "saldo"</t>
  </si>
  <si>
    <t>I række 41 indtastets projektes afskrivningsprocent</t>
  </si>
  <si>
    <t>I række 43-45 beregnes samme rentabilitetsnøgletal som i række 16-18 - men efter skat.</t>
  </si>
  <si>
    <t>Pengestrøm (resultat før afskrivninger, renter og skat)</t>
  </si>
  <si>
    <t>Rentabilitet efter afskrivninger og skat</t>
  </si>
  <si>
    <t>Nutidsværdi efter afskrivninger og skat</t>
  </si>
  <si>
    <t>Intern rente efter afskrivninger og skat</t>
  </si>
  <si>
    <t>Annuitetsmetode efter afskrivninger og skat</t>
  </si>
  <si>
    <t>Diskontering</t>
  </si>
  <si>
    <r>
      <t xml:space="preserve">Afskrivningsmetode </t>
    </r>
    <r>
      <rPr>
        <sz val="9"/>
        <color theme="1"/>
        <rFont val="Calibri"/>
        <family val="2"/>
        <scheme val="minor"/>
      </rPr>
      <t>(kan ændre ved at aktiver cellen)</t>
    </r>
  </si>
  <si>
    <t>De gule felter er intastningsfelter</t>
  </si>
  <si>
    <t>Intern rente før skat</t>
  </si>
  <si>
    <t>Udgiver:</t>
  </si>
  <si>
    <t>SEGES Innovation P/S</t>
  </si>
  <si>
    <t>Udgivelsesdato:</t>
  </si>
  <si>
    <t>Forfatter:</t>
  </si>
  <si>
    <t>Version:</t>
  </si>
  <si>
    <t>Datagrundlag og opdateringsfrekvens:</t>
  </si>
  <si>
    <t>Dokument:</t>
  </si>
  <si>
    <t>Ansvar:</t>
  </si>
  <si>
    <t>Se vilkår</t>
  </si>
  <si>
    <t>Kenneth Kjeldgaard</t>
  </si>
  <si>
    <t>1.0</t>
  </si>
  <si>
    <t>Opdateres ikke</t>
  </si>
  <si>
    <t>Opdateres med link</t>
  </si>
  <si>
    <t xml:space="preserve">Tilbagebetalingstid (dynamisk - driftskredit), år </t>
  </si>
  <si>
    <t>Se video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</si>
</sst>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#,##0.00\ &quot;kr.&quot;;[Red]\-#,##0.00\ &quot;kr.&quot;"/>
    <numFmt numFmtId="44" formatCode="_-* #,##0.00\ &quot;kr.&quot;_-;\-* #,##0.00\ &quot;kr.&quot;_-;_-* &quot;-&quot;??\ &quot;kr.&quot;_-;_-@_-"/>
    <numFmt numFmtId="43" formatCode="_-* #,##0.00_-;\-* #,##0.00_-;_-* &quot;-&quot;??_-;_-@_-"/>
    <numFmt numFmtId="164" formatCode="_-* #,##0\ &quot;kr.&quot;_-;\-* #,##0\ &quot;kr.&quot;_-;_-* &quot;-&quot;??\ &quot;kr.&quot;_-;_-@_-"/>
    <numFmt numFmtId="165" formatCode="#,##0_ ;\-#,##0\ "/>
    <numFmt numFmtId="166" formatCode="#,###"/>
    <numFmt numFmtId="167" formatCode="#,##0\ &quot;kr.&quot;"/>
    <numFmt numFmtId="168" formatCode="_-* #,##0.00\ _k_r_._-;\-* #,##0.00\ _k_r_._-;_-* &quot;-&quot;??\ _k_r_.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6EAF89"/>
        <bgColor indexed="64"/>
      </patternFill>
    </fill>
    <fill>
      <patternFill patternType="solid">
        <fgColor rgb="FFC8C7B2"/>
        <bgColor indexed="64"/>
      </patternFill>
    </fill>
  </fills>
  <borders count="3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178">
    <xf numFmtId="0" fontId="0" fillId="0" borderId="0" xfId="0"/>
    <xf numFmtId="0" fontId="0" fillId="2" borderId="0" xfId="0" applyFill="1"/>
    <xf numFmtId="0" fontId="2" fillId="2" borderId="0" xfId="0" applyFont="1" applyFill="1"/>
    <xf numFmtId="0" fontId="10" fillId="2" borderId="0" xfId="0" applyFont="1" applyFill="1"/>
    <xf numFmtId="0" fontId="11" fillId="2" borderId="0" xfId="0" applyFont="1" applyFill="1"/>
    <xf numFmtId="0" fontId="12" fillId="2" borderId="0" xfId="0" applyFont="1" applyFill="1"/>
    <xf numFmtId="0" fontId="13" fillId="2" borderId="0" xfId="0" applyFont="1" applyFill="1"/>
    <xf numFmtId="0" fontId="3" fillId="0" borderId="19" xfId="0" applyFont="1" applyBorder="1" applyProtection="1">
      <protection hidden="1"/>
    </xf>
    <xf numFmtId="0" fontId="14" fillId="4" borderId="30" xfId="0" applyFont="1" applyFill="1" applyBorder="1" applyProtection="1">
      <protection hidden="1"/>
    </xf>
    <xf numFmtId="0" fontId="14" fillId="4" borderId="31" xfId="0" applyFont="1" applyFill="1" applyBorder="1" applyProtection="1">
      <protection hidden="1"/>
    </xf>
    <xf numFmtId="0" fontId="4" fillId="0" borderId="13" xfId="0" applyFont="1" applyBorder="1" applyProtection="1">
      <protection hidden="1"/>
    </xf>
    <xf numFmtId="0" fontId="2" fillId="0" borderId="28" xfId="0" applyFont="1" applyBorder="1" applyAlignment="1" applyProtection="1">
      <protection hidden="1"/>
    </xf>
    <xf numFmtId="0" fontId="2" fillId="0" borderId="29" xfId="0" applyFont="1" applyBorder="1" applyAlignment="1" applyProtection="1">
      <protection hidden="1"/>
    </xf>
    <xf numFmtId="0" fontId="0" fillId="0" borderId="29" xfId="0" applyBorder="1" applyProtection="1">
      <protection hidden="1"/>
    </xf>
    <xf numFmtId="0" fontId="0" fillId="0" borderId="23" xfId="0" applyBorder="1" applyProtection="1">
      <protection hidden="1"/>
    </xf>
    <xf numFmtId="0" fontId="4" fillId="0" borderId="0" xfId="0" applyFont="1" applyProtection="1">
      <protection hidden="1"/>
    </xf>
    <xf numFmtId="0" fontId="5" fillId="0" borderId="0" xfId="0" applyFont="1" applyBorder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0" fillId="0" borderId="32" xfId="0" applyBorder="1" applyProtection="1">
      <protection hidden="1"/>
    </xf>
    <xf numFmtId="0" fontId="2" fillId="0" borderId="0" xfId="0" applyFont="1" applyFill="1" applyBorder="1" applyProtection="1">
      <protection hidden="1"/>
    </xf>
    <xf numFmtId="0" fontId="0" fillId="0" borderId="0" xfId="0" applyBorder="1" applyProtection="1">
      <protection hidden="1"/>
    </xf>
    <xf numFmtId="0" fontId="0" fillId="0" borderId="14" xfId="0" applyBorder="1" applyProtection="1">
      <protection hidden="1"/>
    </xf>
    <xf numFmtId="0" fontId="0" fillId="0" borderId="13" xfId="0" applyBorder="1" applyProtection="1">
      <protection hidden="1"/>
    </xf>
    <xf numFmtId="166" fontId="0" fillId="0" borderId="24" xfId="1" applyNumberFormat="1" applyFont="1" applyFill="1" applyBorder="1" applyAlignment="1" applyProtection="1">
      <alignment horizontal="center"/>
      <protection hidden="1"/>
    </xf>
    <xf numFmtId="0" fontId="5" fillId="0" borderId="5" xfId="0" applyFont="1" applyBorder="1" applyProtection="1">
      <protection hidden="1"/>
    </xf>
    <xf numFmtId="0" fontId="5" fillId="0" borderId="25" xfId="0" applyFont="1" applyBorder="1" applyProtection="1">
      <protection hidden="1"/>
    </xf>
    <xf numFmtId="0" fontId="5" fillId="0" borderId="0" xfId="0" applyFont="1" applyFill="1" applyBorder="1" applyProtection="1">
      <protection hidden="1"/>
    </xf>
    <xf numFmtId="1" fontId="0" fillId="0" borderId="13" xfId="1" applyNumberFormat="1" applyFont="1" applyFill="1" applyBorder="1" applyAlignment="1" applyProtection="1">
      <alignment horizontal="center"/>
      <protection hidden="1"/>
    </xf>
    <xf numFmtId="164" fontId="0" fillId="0" borderId="0" xfId="0" applyNumberFormat="1" applyBorder="1" applyProtection="1">
      <protection hidden="1"/>
    </xf>
    <xf numFmtId="164" fontId="0" fillId="0" borderId="14" xfId="0" applyNumberFormat="1" applyBorder="1" applyProtection="1">
      <protection hidden="1"/>
    </xf>
    <xf numFmtId="9" fontId="0" fillId="0" borderId="13" xfId="3" applyFont="1" applyBorder="1" applyProtection="1">
      <protection hidden="1"/>
    </xf>
    <xf numFmtId="166" fontId="0" fillId="0" borderId="13" xfId="1" applyNumberFormat="1" applyFont="1" applyFill="1" applyBorder="1" applyAlignment="1" applyProtection="1">
      <alignment horizontal="center"/>
      <protection hidden="1"/>
    </xf>
    <xf numFmtId="164" fontId="7" fillId="0" borderId="0" xfId="2" applyNumberFormat="1" applyFont="1" applyBorder="1" applyProtection="1">
      <protection hidden="1"/>
    </xf>
    <xf numFmtId="164" fontId="7" fillId="0" borderId="14" xfId="2" applyNumberFormat="1" applyFont="1" applyBorder="1" applyProtection="1">
      <protection hidden="1"/>
    </xf>
    <xf numFmtId="0" fontId="2" fillId="0" borderId="32" xfId="0" applyFont="1" applyBorder="1" applyProtection="1">
      <protection hidden="1"/>
    </xf>
    <xf numFmtId="0" fontId="0" fillId="0" borderId="32" xfId="0" applyFont="1" applyBorder="1" applyProtection="1">
      <protection hidden="1"/>
    </xf>
    <xf numFmtId="0" fontId="2" fillId="0" borderId="33" xfId="0" applyFont="1" applyBorder="1" applyProtection="1">
      <protection hidden="1"/>
    </xf>
    <xf numFmtId="164" fontId="0" fillId="0" borderId="2" xfId="0" applyNumberFormat="1" applyFont="1" applyBorder="1" applyProtection="1">
      <protection hidden="1"/>
    </xf>
    <xf numFmtId="164" fontId="0" fillId="0" borderId="18" xfId="0" applyNumberFormat="1" applyFont="1" applyBorder="1" applyProtection="1">
      <protection hidden="1"/>
    </xf>
    <xf numFmtId="0" fontId="0" fillId="0" borderId="32" xfId="0" applyFill="1" applyBorder="1" applyProtection="1">
      <protection hidden="1"/>
    </xf>
    <xf numFmtId="164" fontId="0" fillId="0" borderId="0" xfId="0" applyNumberFormat="1" applyFill="1" applyBorder="1" applyProtection="1">
      <protection hidden="1"/>
    </xf>
    <xf numFmtId="164" fontId="0" fillId="0" borderId="14" xfId="0" applyNumberFormat="1" applyFill="1" applyBorder="1" applyProtection="1">
      <protection hidden="1"/>
    </xf>
    <xf numFmtId="0" fontId="2" fillId="0" borderId="32" xfId="0" applyFont="1" applyFill="1" applyBorder="1" applyProtection="1">
      <protection hidden="1"/>
    </xf>
    <xf numFmtId="0" fontId="0" fillId="0" borderId="32" xfId="0" applyFont="1" applyFill="1" applyBorder="1" applyProtection="1">
      <protection hidden="1"/>
    </xf>
    <xf numFmtId="0" fontId="0" fillId="0" borderId="0" xfId="0" applyFill="1" applyBorder="1" applyProtection="1">
      <protection hidden="1"/>
    </xf>
    <xf numFmtId="0" fontId="0" fillId="0" borderId="14" xfId="0" applyFill="1" applyBorder="1" applyProtection="1">
      <protection hidden="1"/>
    </xf>
    <xf numFmtId="10" fontId="0" fillId="0" borderId="0" xfId="3" applyNumberFormat="1" applyFont="1" applyFill="1" applyBorder="1" applyProtection="1">
      <protection hidden="1"/>
    </xf>
    <xf numFmtId="164" fontId="0" fillId="0" borderId="0" xfId="2" applyNumberFormat="1" applyFont="1" applyFill="1" applyBorder="1" applyProtection="1">
      <protection hidden="1"/>
    </xf>
    <xf numFmtId="1" fontId="0" fillId="0" borderId="0" xfId="0" applyNumberFormat="1" applyFont="1" applyBorder="1" applyProtection="1">
      <protection hidden="1"/>
    </xf>
    <xf numFmtId="0" fontId="0" fillId="0" borderId="0" xfId="0" applyFont="1" applyBorder="1" applyProtection="1">
      <protection hidden="1"/>
    </xf>
    <xf numFmtId="0" fontId="0" fillId="0" borderId="14" xfId="0" applyFont="1" applyBorder="1" applyProtection="1">
      <protection hidden="1"/>
    </xf>
    <xf numFmtId="167" fontId="7" fillId="0" borderId="0" xfId="0" applyNumberFormat="1" applyFont="1" applyFill="1" applyBorder="1" applyProtection="1">
      <protection hidden="1"/>
    </xf>
    <xf numFmtId="10" fontId="0" fillId="0" borderId="0" xfId="0" applyNumberFormat="1" applyBorder="1" applyProtection="1">
      <protection hidden="1"/>
    </xf>
    <xf numFmtId="10" fontId="0" fillId="0" borderId="14" xfId="0" applyNumberFormat="1" applyBorder="1" applyProtection="1">
      <protection hidden="1"/>
    </xf>
    <xf numFmtId="0" fontId="0" fillId="0" borderId="34" xfId="0" applyBorder="1" applyProtection="1">
      <protection hidden="1"/>
    </xf>
    <xf numFmtId="8" fontId="0" fillId="0" borderId="0" xfId="0" applyNumberFormat="1" applyProtection="1">
      <protection hidden="1"/>
    </xf>
    <xf numFmtId="44" fontId="0" fillId="0" borderId="0" xfId="2" applyFont="1" applyProtection="1">
      <protection hidden="1"/>
    </xf>
    <xf numFmtId="10" fontId="0" fillId="0" borderId="0" xfId="3" applyNumberFormat="1" applyFont="1" applyProtection="1">
      <protection hidden="1"/>
    </xf>
    <xf numFmtId="43" fontId="0" fillId="0" borderId="0" xfId="1" applyFont="1" applyProtection="1">
      <protection hidden="1"/>
    </xf>
    <xf numFmtId="166" fontId="0" fillId="0" borderId="15" xfId="1" applyNumberFormat="1" applyFont="1" applyFill="1" applyBorder="1" applyAlignment="1" applyProtection="1">
      <alignment horizontal="center"/>
      <protection hidden="1"/>
    </xf>
    <xf numFmtId="164" fontId="7" fillId="0" borderId="16" xfId="2" applyNumberFormat="1" applyFont="1" applyBorder="1" applyProtection="1">
      <protection hidden="1"/>
    </xf>
    <xf numFmtId="164" fontId="7" fillId="0" borderId="17" xfId="2" applyNumberFormat="1" applyFont="1" applyBorder="1" applyProtection="1">
      <protection hidden="1"/>
    </xf>
    <xf numFmtId="164" fontId="0" fillId="0" borderId="0" xfId="0" applyNumberFormat="1" applyProtection="1">
      <protection hidden="1"/>
    </xf>
    <xf numFmtId="0" fontId="2" fillId="0" borderId="28" xfId="0" applyFont="1" applyBorder="1" applyAlignment="1" applyProtection="1">
      <alignment vertical="center"/>
      <protection hidden="1"/>
    </xf>
    <xf numFmtId="0" fontId="0" fillId="0" borderId="29" xfId="0" applyBorder="1" applyAlignment="1" applyProtection="1">
      <alignment vertical="center"/>
      <protection hidden="1"/>
    </xf>
    <xf numFmtId="0" fontId="0" fillId="0" borderId="23" xfId="0" applyBorder="1" applyAlignment="1" applyProtection="1">
      <alignment vertical="center"/>
      <protection hidden="1"/>
    </xf>
    <xf numFmtId="0" fontId="0" fillId="0" borderId="1" xfId="0" applyBorder="1" applyProtection="1">
      <protection hidden="1"/>
    </xf>
    <xf numFmtId="0" fontId="0" fillId="0" borderId="35" xfId="0" applyBorder="1" applyProtection="1">
      <protection hidden="1"/>
    </xf>
    <xf numFmtId="0" fontId="14" fillId="4" borderId="10" xfId="0" applyFont="1" applyFill="1" applyBorder="1" applyProtection="1">
      <protection hidden="1"/>
    </xf>
    <xf numFmtId="0" fontId="14" fillId="4" borderId="11" xfId="0" applyFont="1" applyFill="1" applyBorder="1" applyProtection="1">
      <protection hidden="1"/>
    </xf>
    <xf numFmtId="0" fontId="14" fillId="4" borderId="12" xfId="0" applyFont="1" applyFill="1" applyBorder="1" applyProtection="1">
      <protection hidden="1"/>
    </xf>
    <xf numFmtId="0" fontId="2" fillId="0" borderId="35" xfId="0" applyFont="1" applyBorder="1" applyProtection="1">
      <protection hidden="1"/>
    </xf>
    <xf numFmtId="0" fontId="0" fillId="0" borderId="10" xfId="0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164" fontId="7" fillId="0" borderId="13" xfId="0" applyNumberFormat="1" applyFont="1" applyFill="1" applyBorder="1" applyProtection="1">
      <protection hidden="1"/>
    </xf>
    <xf numFmtId="164" fontId="7" fillId="0" borderId="0" xfId="0" applyNumberFormat="1" applyFont="1" applyFill="1" applyBorder="1" applyProtection="1">
      <protection hidden="1"/>
    </xf>
    <xf numFmtId="164" fontId="7" fillId="0" borderId="14" xfId="0" applyNumberFormat="1" applyFont="1" applyFill="1" applyBorder="1" applyProtection="1">
      <protection hidden="1"/>
    </xf>
    <xf numFmtId="10" fontId="0" fillId="0" borderId="13" xfId="3" applyNumberFormat="1" applyFont="1" applyFill="1" applyBorder="1" applyProtection="1">
      <protection hidden="1"/>
    </xf>
    <xf numFmtId="10" fontId="0" fillId="0" borderId="14" xfId="3" applyNumberFormat="1" applyFont="1" applyFill="1" applyBorder="1" applyProtection="1">
      <protection hidden="1"/>
    </xf>
    <xf numFmtId="0" fontId="2" fillId="0" borderId="34" xfId="0" applyFont="1" applyFill="1" applyBorder="1" applyProtection="1">
      <protection hidden="1"/>
    </xf>
    <xf numFmtId="164" fontId="0" fillId="0" borderId="15" xfId="2" applyNumberFormat="1" applyFont="1" applyFill="1" applyBorder="1" applyProtection="1">
      <protection hidden="1"/>
    </xf>
    <xf numFmtId="164" fontId="0" fillId="0" borderId="16" xfId="2" applyNumberFormat="1" applyFont="1" applyFill="1" applyBorder="1" applyProtection="1">
      <protection hidden="1"/>
    </xf>
    <xf numFmtId="164" fontId="0" fillId="0" borderId="17" xfId="2" applyNumberFormat="1" applyFont="1" applyFill="1" applyBorder="1" applyProtection="1">
      <protection hidden="1"/>
    </xf>
    <xf numFmtId="8" fontId="0" fillId="0" borderId="0" xfId="0" applyNumberFormat="1" applyFill="1" applyBorder="1" applyProtection="1">
      <protection hidden="1"/>
    </xf>
    <xf numFmtId="44" fontId="0" fillId="0" borderId="0" xfId="2" applyFont="1" applyFill="1" applyBorder="1" applyProtection="1">
      <protection hidden="1"/>
    </xf>
    <xf numFmtId="168" fontId="0" fillId="0" borderId="0" xfId="0" applyNumberFormat="1" applyFill="1" applyBorder="1" applyProtection="1">
      <protection hidden="1"/>
    </xf>
    <xf numFmtId="0" fontId="4" fillId="0" borderId="0" xfId="0" applyFont="1" applyFill="1" applyBorder="1" applyProtection="1">
      <protection hidden="1"/>
    </xf>
    <xf numFmtId="0" fontId="4" fillId="0" borderId="0" xfId="0" applyFont="1" applyBorder="1" applyProtection="1">
      <protection hidden="1"/>
    </xf>
    <xf numFmtId="0" fontId="0" fillId="0" borderId="0" xfId="0" applyFont="1" applyFill="1" applyBorder="1" applyProtection="1">
      <protection hidden="1"/>
    </xf>
    <xf numFmtId="44" fontId="0" fillId="0" borderId="0" xfId="0" applyNumberFormat="1" applyFont="1" applyFill="1" applyBorder="1" applyProtection="1">
      <protection hidden="1"/>
    </xf>
    <xf numFmtId="0" fontId="4" fillId="0" borderId="0" xfId="0" applyFont="1" applyFill="1" applyBorder="1" applyAlignment="1" applyProtection="1">
      <alignment vertical="top" wrapText="1"/>
      <protection hidden="1"/>
    </xf>
    <xf numFmtId="0" fontId="4" fillId="0" borderId="0" xfId="0" applyFont="1" applyBorder="1" applyAlignment="1" applyProtection="1">
      <alignment vertical="top" wrapText="1"/>
      <protection hidden="1"/>
    </xf>
    <xf numFmtId="10" fontId="0" fillId="0" borderId="0" xfId="0" applyNumberFormat="1" applyFill="1" applyBorder="1" applyProtection="1">
      <protection hidden="1"/>
    </xf>
    <xf numFmtId="43" fontId="0" fillId="0" borderId="0" xfId="1" applyFont="1" applyFill="1" applyBorder="1" applyProtection="1">
      <protection hidden="1"/>
    </xf>
    <xf numFmtId="10" fontId="0" fillId="0" borderId="0" xfId="3" applyNumberFormat="1" applyFont="1" applyBorder="1" applyProtection="1">
      <protection hidden="1"/>
    </xf>
    <xf numFmtId="164" fontId="6" fillId="0" borderId="0" xfId="0" applyNumberFormat="1" applyFont="1" applyFill="1" applyBorder="1" applyProtection="1">
      <protection hidden="1"/>
    </xf>
    <xf numFmtId="164" fontId="6" fillId="0" borderId="0" xfId="0" applyNumberFormat="1" applyFont="1" applyBorder="1" applyProtection="1">
      <protection hidden="1"/>
    </xf>
    <xf numFmtId="164" fontId="7" fillId="0" borderId="0" xfId="0" applyNumberFormat="1" applyFont="1" applyBorder="1" applyProtection="1">
      <protection hidden="1"/>
    </xf>
    <xf numFmtId="10" fontId="0" fillId="0" borderId="3" xfId="3" applyNumberFormat="1" applyFont="1" applyBorder="1" applyProtection="1">
      <protection hidden="1"/>
    </xf>
    <xf numFmtId="165" fontId="0" fillId="0" borderId="0" xfId="0" applyNumberFormat="1" applyFill="1" applyBorder="1" applyProtection="1">
      <protection hidden="1"/>
    </xf>
    <xf numFmtId="0" fontId="0" fillId="0" borderId="0" xfId="0" applyFill="1" applyProtection="1">
      <protection hidden="1"/>
    </xf>
    <xf numFmtId="0" fontId="5" fillId="0" borderId="0" xfId="0" applyFont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6" fillId="0" borderId="0" xfId="0" applyFont="1" applyFill="1" applyProtection="1">
      <protection hidden="1"/>
    </xf>
    <xf numFmtId="0" fontId="0" fillId="0" borderId="0" xfId="1" applyNumberFormat="1" applyFont="1" applyFill="1" applyBorder="1" applyAlignment="1" applyProtection="1">
      <alignment horizontal="left"/>
      <protection hidden="1"/>
    </xf>
    <xf numFmtId="0" fontId="9" fillId="0" borderId="0" xfId="4" applyFill="1" applyProtection="1">
      <protection hidden="1"/>
    </xf>
    <xf numFmtId="0" fontId="7" fillId="0" borderId="0" xfId="0" applyFont="1" applyFill="1" applyBorder="1" applyProtection="1">
      <protection hidden="1"/>
    </xf>
    <xf numFmtId="9" fontId="6" fillId="0" borderId="0" xfId="3" applyFont="1" applyFill="1" applyBorder="1" applyProtection="1">
      <protection hidden="1"/>
    </xf>
    <xf numFmtId="164" fontId="0" fillId="0" borderId="0" xfId="2" applyNumberFormat="1" applyFont="1" applyFill="1" applyProtection="1">
      <protection hidden="1"/>
    </xf>
    <xf numFmtId="10" fontId="0" fillId="0" borderId="0" xfId="0" applyNumberFormat="1" applyFill="1" applyProtection="1">
      <protection hidden="1"/>
    </xf>
    <xf numFmtId="9" fontId="0" fillId="0" borderId="0" xfId="0" applyNumberFormat="1" applyFill="1" applyProtection="1">
      <protection hidden="1"/>
    </xf>
    <xf numFmtId="0" fontId="0" fillId="0" borderId="0" xfId="0" applyFill="1" applyBorder="1" applyAlignment="1" applyProtection="1">
      <alignment horizontal="right"/>
      <protection hidden="1"/>
    </xf>
    <xf numFmtId="164" fontId="0" fillId="0" borderId="0" xfId="0" applyNumberFormat="1" applyFill="1" applyProtection="1">
      <protection hidden="1"/>
    </xf>
    <xf numFmtId="10" fontId="0" fillId="0" borderId="0" xfId="3" applyNumberFormat="1" applyFont="1" applyFill="1" applyProtection="1">
      <protection hidden="1"/>
    </xf>
    <xf numFmtId="43" fontId="0" fillId="0" borderId="0" xfId="1" applyFont="1" applyFill="1" applyProtection="1">
      <protection hidden="1"/>
    </xf>
    <xf numFmtId="0" fontId="0" fillId="0" borderId="13" xfId="0" applyFill="1" applyBorder="1" applyAlignment="1" applyProtection="1">
      <alignment horizontal="right"/>
      <protection hidden="1"/>
    </xf>
    <xf numFmtId="9" fontId="0" fillId="0" borderId="0" xfId="0" applyNumberFormat="1" applyProtection="1">
      <protection hidden="1"/>
    </xf>
    <xf numFmtId="164" fontId="0" fillId="0" borderId="0" xfId="2" applyNumberFormat="1" applyFont="1" applyProtection="1">
      <protection hidden="1"/>
    </xf>
    <xf numFmtId="43" fontId="0" fillId="0" borderId="0" xfId="0" applyNumberFormat="1" applyFill="1" applyProtection="1">
      <protection hidden="1"/>
    </xf>
    <xf numFmtId="0" fontId="2" fillId="0" borderId="0" xfId="0" applyFont="1" applyFill="1" applyProtection="1">
      <protection hidden="1"/>
    </xf>
    <xf numFmtId="164" fontId="2" fillId="0" borderId="0" xfId="2" applyNumberFormat="1" applyFont="1" applyFill="1" applyProtection="1">
      <protection hidden="1"/>
    </xf>
    <xf numFmtId="164" fontId="0" fillId="3" borderId="0" xfId="2" applyNumberFormat="1" applyFont="1" applyFill="1" applyBorder="1" applyProtection="1">
      <protection locked="0"/>
    </xf>
    <xf numFmtId="164" fontId="0" fillId="3" borderId="14" xfId="2" applyNumberFormat="1" applyFont="1" applyFill="1" applyBorder="1" applyProtection="1">
      <protection locked="0"/>
    </xf>
    <xf numFmtId="164" fontId="0" fillId="3" borderId="0" xfId="0" applyNumberFormat="1" applyFill="1" applyBorder="1" applyProtection="1">
      <protection locked="0"/>
    </xf>
    <xf numFmtId="164" fontId="0" fillId="3" borderId="14" xfId="0" applyNumberFormat="1" applyFill="1" applyBorder="1" applyProtection="1">
      <protection locked="0"/>
    </xf>
    <xf numFmtId="43" fontId="0" fillId="3" borderId="0" xfId="1" applyFont="1" applyFill="1" applyBorder="1" applyProtection="1">
      <protection locked="0"/>
    </xf>
    <xf numFmtId="43" fontId="0" fillId="3" borderId="14" xfId="1" applyFont="1" applyFill="1" applyBorder="1" applyProtection="1">
      <protection locked="0"/>
    </xf>
    <xf numFmtId="10" fontId="0" fillId="3" borderId="0" xfId="3" applyNumberFormat="1" applyFont="1" applyFill="1" applyBorder="1" applyProtection="1">
      <protection locked="0"/>
    </xf>
    <xf numFmtId="10" fontId="0" fillId="3" borderId="14" xfId="3" applyNumberFormat="1" applyFont="1" applyFill="1" applyBorder="1" applyProtection="1">
      <protection locked="0"/>
    </xf>
    <xf numFmtId="10" fontId="0" fillId="3" borderId="16" xfId="3" applyNumberFormat="1" applyFont="1" applyFill="1" applyBorder="1" applyProtection="1">
      <protection locked="0"/>
    </xf>
    <xf numFmtId="10" fontId="0" fillId="3" borderId="17" xfId="3" applyNumberFormat="1" applyFont="1" applyFill="1" applyBorder="1" applyProtection="1">
      <protection locked="0"/>
    </xf>
    <xf numFmtId="10" fontId="0" fillId="3" borderId="13" xfId="3" applyNumberFormat="1" applyFont="1" applyFill="1" applyBorder="1" applyProtection="1">
      <protection locked="0"/>
    </xf>
    <xf numFmtId="0" fontId="0" fillId="3" borderId="13" xfId="0" applyFill="1" applyBorder="1" applyAlignment="1" applyProtection="1">
      <alignment horizontal="right"/>
      <protection locked="0"/>
    </xf>
    <xf numFmtId="0" fontId="0" fillId="3" borderId="0" xfId="0" applyFill="1" applyBorder="1" applyAlignment="1" applyProtection="1">
      <alignment horizontal="right"/>
      <protection locked="0"/>
    </xf>
    <xf numFmtId="0" fontId="0" fillId="3" borderId="14" xfId="0" applyFill="1" applyBorder="1" applyAlignment="1" applyProtection="1">
      <alignment horizontal="right"/>
      <protection locked="0"/>
    </xf>
    <xf numFmtId="0" fontId="0" fillId="5" borderId="0" xfId="0" applyFill="1"/>
    <xf numFmtId="0" fontId="0" fillId="0" borderId="9" xfId="0" applyBorder="1"/>
    <xf numFmtId="0" fontId="16" fillId="0" borderId="1" xfId="0" applyFont="1" applyBorder="1"/>
    <xf numFmtId="0" fontId="16" fillId="0" borderId="7" xfId="0" applyFont="1" applyBorder="1"/>
    <xf numFmtId="0" fontId="16" fillId="0" borderId="0" xfId="0" applyFont="1"/>
    <xf numFmtId="14" fontId="16" fillId="0" borderId="0" xfId="0" applyNumberFormat="1" applyFont="1" applyAlignment="1">
      <alignment horizontal="left"/>
    </xf>
    <xf numFmtId="3" fontId="16" fillId="0" borderId="7" xfId="0" applyNumberFormat="1" applyFont="1" applyBorder="1"/>
    <xf numFmtId="0" fontId="16" fillId="0" borderId="36" xfId="0" applyFont="1" applyBorder="1"/>
    <xf numFmtId="0" fontId="9" fillId="0" borderId="3" xfId="4" applyFill="1" applyBorder="1" applyAlignment="1" applyProtection="1">
      <protection locked="0"/>
    </xf>
    <xf numFmtId="0" fontId="0" fillId="2" borderId="0" xfId="0" applyFill="1" applyProtection="1">
      <protection hidden="1"/>
    </xf>
    <xf numFmtId="1" fontId="17" fillId="0" borderId="13" xfId="1" applyNumberFormat="1" applyFont="1" applyFill="1" applyBorder="1" applyAlignment="1" applyProtection="1">
      <alignment horizontal="center"/>
      <protection hidden="1"/>
    </xf>
    <xf numFmtId="164" fontId="17" fillId="0" borderId="0" xfId="0" applyNumberFormat="1" applyFont="1" applyBorder="1" applyProtection="1">
      <protection hidden="1"/>
    </xf>
    <xf numFmtId="164" fontId="17" fillId="0" borderId="14" xfId="0" applyNumberFormat="1" applyFont="1" applyBorder="1" applyProtection="1">
      <protection hidden="1"/>
    </xf>
    <xf numFmtId="0" fontId="17" fillId="0" borderId="0" xfId="0" applyFont="1" applyProtection="1">
      <protection hidden="1"/>
    </xf>
    <xf numFmtId="164" fontId="17" fillId="0" borderId="7" xfId="0" applyNumberFormat="1" applyFont="1" applyBorder="1" applyProtection="1">
      <protection hidden="1"/>
    </xf>
    <xf numFmtId="164" fontId="17" fillId="0" borderId="4" xfId="0" applyNumberFormat="1" applyFont="1" applyBorder="1" applyProtection="1">
      <protection hidden="1"/>
    </xf>
    <xf numFmtId="164" fontId="17" fillId="0" borderId="9" xfId="0" applyNumberFormat="1" applyFont="1" applyBorder="1" applyProtection="1">
      <protection hidden="1"/>
    </xf>
    <xf numFmtId="166" fontId="17" fillId="0" borderId="13" xfId="1" applyNumberFormat="1" applyFont="1" applyFill="1" applyBorder="1" applyAlignment="1" applyProtection="1">
      <alignment horizontal="center"/>
      <protection hidden="1"/>
    </xf>
    <xf numFmtId="164" fontId="18" fillId="0" borderId="0" xfId="2" applyNumberFormat="1" applyFont="1" applyBorder="1" applyProtection="1">
      <protection hidden="1"/>
    </xf>
    <xf numFmtId="164" fontId="18" fillId="0" borderId="14" xfId="2" applyNumberFormat="1" applyFont="1" applyBorder="1" applyProtection="1">
      <protection hidden="1"/>
    </xf>
    <xf numFmtId="164" fontId="18" fillId="0" borderId="7" xfId="2" applyNumberFormat="1" applyFont="1" applyBorder="1" applyProtection="1">
      <protection hidden="1"/>
    </xf>
    <xf numFmtId="0" fontId="19" fillId="0" borderId="0" xfId="0" applyFont="1" applyProtection="1">
      <protection hidden="1"/>
    </xf>
    <xf numFmtId="166" fontId="17" fillId="0" borderId="15" xfId="1" applyNumberFormat="1" applyFont="1" applyFill="1" applyBorder="1" applyAlignment="1" applyProtection="1">
      <alignment horizontal="center"/>
      <protection hidden="1"/>
    </xf>
    <xf numFmtId="164" fontId="18" fillId="0" borderId="16" xfId="2" applyNumberFormat="1" applyFont="1" applyBorder="1" applyProtection="1">
      <protection hidden="1"/>
    </xf>
    <xf numFmtId="164" fontId="18" fillId="0" borderId="17" xfId="2" applyNumberFormat="1" applyFont="1" applyBorder="1" applyProtection="1">
      <protection hidden="1"/>
    </xf>
    <xf numFmtId="164" fontId="18" fillId="0" borderId="26" xfId="2" applyNumberFormat="1" applyFont="1" applyBorder="1" applyProtection="1">
      <protection hidden="1"/>
    </xf>
    <xf numFmtId="164" fontId="17" fillId="0" borderId="27" xfId="0" applyNumberFormat="1" applyFont="1" applyBorder="1" applyProtection="1">
      <protection hidden="1"/>
    </xf>
    <xf numFmtId="164" fontId="17" fillId="0" borderId="17" xfId="0" applyNumberFormat="1" applyFont="1" applyBorder="1" applyProtection="1">
      <protection hidden="1"/>
    </xf>
    <xf numFmtId="0" fontId="20" fillId="0" borderId="10" xfId="0" applyFont="1" applyBorder="1" applyProtection="1">
      <protection hidden="1"/>
    </xf>
    <xf numFmtId="0" fontId="20" fillId="0" borderId="0" xfId="0" applyFont="1" applyBorder="1" applyAlignment="1" applyProtection="1">
      <alignment horizontal="center"/>
      <protection hidden="1"/>
    </xf>
    <xf numFmtId="166" fontId="17" fillId="0" borderId="24" xfId="1" applyNumberFormat="1" applyFont="1" applyFill="1" applyBorder="1" applyAlignment="1" applyProtection="1">
      <alignment horizontal="center"/>
      <protection hidden="1"/>
    </xf>
    <xf numFmtId="0" fontId="20" fillId="0" borderId="8" xfId="0" applyFont="1" applyFill="1" applyBorder="1" applyProtection="1">
      <protection hidden="1"/>
    </xf>
    <xf numFmtId="0" fontId="20" fillId="0" borderId="6" xfId="0" applyFont="1" applyFill="1" applyBorder="1" applyProtection="1">
      <protection hidden="1"/>
    </xf>
    <xf numFmtId="0" fontId="20" fillId="0" borderId="25" xfId="0" applyFont="1" applyFill="1" applyBorder="1" applyProtection="1">
      <protection hidden="1"/>
    </xf>
    <xf numFmtId="0" fontId="20" fillId="0" borderId="0" xfId="0" applyFont="1" applyFill="1" applyBorder="1" applyProtection="1">
      <protection hidden="1"/>
    </xf>
    <xf numFmtId="0" fontId="20" fillId="0" borderId="20" xfId="0" applyFont="1" applyBorder="1" applyProtection="1">
      <protection hidden="1"/>
    </xf>
    <xf numFmtId="0" fontId="20" fillId="0" borderId="20" xfId="0" applyFont="1" applyBorder="1" applyAlignment="1" applyProtection="1">
      <alignment wrapText="1"/>
      <protection hidden="1"/>
    </xf>
    <xf numFmtId="0" fontId="2" fillId="5" borderId="0" xfId="0" applyFont="1" applyFill="1"/>
    <xf numFmtId="0" fontId="20" fillId="0" borderId="21" xfId="0" applyFont="1" applyBorder="1" applyAlignment="1" applyProtection="1">
      <alignment horizontal="center"/>
      <protection hidden="1"/>
    </xf>
    <xf numFmtId="0" fontId="20" fillId="0" borderId="22" xfId="0" applyFont="1" applyBorder="1" applyAlignment="1" applyProtection="1">
      <alignment horizontal="center"/>
      <protection hidden="1"/>
    </xf>
    <xf numFmtId="0" fontId="20" fillId="0" borderId="23" xfId="0" applyFont="1" applyBorder="1" applyAlignment="1" applyProtection="1">
      <alignment horizontal="center"/>
      <protection hidden="1"/>
    </xf>
    <xf numFmtId="0" fontId="9" fillId="0" borderId="0" xfId="4" applyFill="1"/>
  </cellXfs>
  <cellStyles count="5">
    <cellStyle name="Komma" xfId="1" builtinId="3"/>
    <cellStyle name="Link" xfId="4" builtinId="8"/>
    <cellStyle name="Normal" xfId="0" builtinId="0"/>
    <cellStyle name="Procent" xfId="3" builtinId="5"/>
    <cellStyle name="Valuta" xfId="2" builtinId="4"/>
  </cellStyles>
  <dxfs count="0"/>
  <tableStyles count="0" defaultTableStyle="TableStyleMedium2" defaultPivotStyle="PivotStyleLight16"/>
  <colors>
    <mruColors>
      <color rgb="FF6EAF8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76200</xdr:rowOff>
    </xdr:from>
    <xdr:to>
      <xdr:col>1</xdr:col>
      <xdr:colOff>381000</xdr:colOff>
      <xdr:row>3</xdr:row>
      <xdr:rowOff>92540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57BFC108-1EEC-4E43-8D25-A91E5F079D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76200"/>
          <a:ext cx="1352550" cy="559265"/>
        </a:xfrm>
        <a:prstGeom prst="rect">
          <a:avLst/>
        </a:prstGeom>
      </xdr:spPr>
    </xdr:pic>
    <xdr:clientData/>
  </xdr:twoCellAnchor>
  <xdr:twoCellAnchor editAs="oneCell">
    <xdr:from>
      <xdr:col>3</xdr:col>
      <xdr:colOff>142875</xdr:colOff>
      <xdr:row>0</xdr:row>
      <xdr:rowOff>85725</xdr:rowOff>
    </xdr:from>
    <xdr:to>
      <xdr:col>10</xdr:col>
      <xdr:colOff>364248</xdr:colOff>
      <xdr:row>3</xdr:row>
      <xdr:rowOff>105062</xdr:rowOff>
    </xdr:to>
    <xdr:pic>
      <xdr:nvPicPr>
        <xdr:cNvPr id="3" name="Billede 2">
          <a:extLst>
            <a:ext uri="{FF2B5EF4-FFF2-40B4-BE49-F238E27FC236}">
              <a16:creationId xmlns:a16="http://schemas.microsoft.com/office/drawing/2014/main" id="{9E5378D0-D0B2-4C0E-80F6-D7D1AB0646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810500" y="85725"/>
          <a:ext cx="4621923" cy="56226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58909</xdr:colOff>
      <xdr:row>0</xdr:row>
      <xdr:rowOff>75175</xdr:rowOff>
    </xdr:from>
    <xdr:to>
      <xdr:col>0</xdr:col>
      <xdr:colOff>1273828</xdr:colOff>
      <xdr:row>3</xdr:row>
      <xdr:rowOff>36635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D68B8822-BE20-4BE9-B62B-FB488A04E4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909" y="75175"/>
          <a:ext cx="1205394" cy="510979"/>
        </a:xfrm>
        <a:prstGeom prst="rect">
          <a:avLst/>
        </a:prstGeom>
      </xdr:spPr>
    </xdr:pic>
    <xdr:clientData/>
  </xdr:twoCellAnchor>
  <xdr:twoCellAnchor editAs="oneCell">
    <xdr:from>
      <xdr:col>0</xdr:col>
      <xdr:colOff>2679748</xdr:colOff>
      <xdr:row>0</xdr:row>
      <xdr:rowOff>76787</xdr:rowOff>
    </xdr:from>
    <xdr:to>
      <xdr:col>3</xdr:col>
      <xdr:colOff>1121019</xdr:colOff>
      <xdr:row>2</xdr:row>
      <xdr:rowOff>168773</xdr:rowOff>
    </xdr:to>
    <xdr:pic>
      <xdr:nvPicPr>
        <xdr:cNvPr id="3" name="Billede 2">
          <a:extLst>
            <a:ext uri="{FF2B5EF4-FFF2-40B4-BE49-F238E27FC236}">
              <a16:creationId xmlns:a16="http://schemas.microsoft.com/office/drawing/2014/main" id="{D821D33B-16D6-48AA-970B-45F8750AA5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679748" y="76787"/>
          <a:ext cx="3680021" cy="4526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ontortema">
  <a:themeElements>
    <a:clrScheme name="SEGES">
      <a:dk1>
        <a:srgbClr val="000000"/>
      </a:dk1>
      <a:lt1>
        <a:sysClr val="window" lastClr="FFFFFF"/>
      </a:lt1>
      <a:dk2>
        <a:srgbClr val="09562C"/>
      </a:dk2>
      <a:lt2>
        <a:srgbClr val="E7E5DB"/>
      </a:lt2>
      <a:accent1>
        <a:srgbClr val="076471"/>
      </a:accent1>
      <a:accent2>
        <a:srgbClr val="C8C7B2"/>
      </a:accent2>
      <a:accent3>
        <a:srgbClr val="9DDCF9"/>
      </a:accent3>
      <a:accent4>
        <a:srgbClr val="7C9877"/>
      </a:accent4>
      <a:accent5>
        <a:srgbClr val="338291"/>
      </a:accent5>
      <a:accent6>
        <a:srgbClr val="E95D0F"/>
      </a:accent6>
      <a:hlink>
        <a:srgbClr val="076471"/>
      </a:hlink>
      <a:folHlink>
        <a:srgbClr val="E95D0F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eur01.safelinks.protection.outlook.com/?url=https%3A%2F%2Fwww.seges.tv%2Fvideo%2F81830633%2Fplanlaeg-og-invester-rigtigt&amp;data=05%7C01%7Csst%40seges.dk%7C28580bf74d2d4c0da71008dad76885ac%7C52c453133bb143ef81248c8afc9e779c%7C1%7C0%7C638059141165595525%7CUnknown%7CTWFpbGZsb3d8eyJWIjoiMC4wLjAwMDAiLCJQIjoiV2luMzIiLCJBTiI6Ik1haWwiLCJXVCI6Mn0%3D%7C3000%7C%7C%7C&amp;sdata=Q1vElrqiD62xvZABTtkKhsiAE2hEHN6btJT05EhDXQY%3D&amp;reserved=0" TargetMode="External"/><Relationship Id="rId1" Type="http://schemas.openxmlformats.org/officeDocument/2006/relationships/hyperlink" Target="https://www.landbrugsinfo.dk/public/2/1/8/abonnement_om_landbrugsinfo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A5B4B0-3B2E-433F-B436-1EFB4B4A7964}">
  <dimension ref="B5:D12"/>
  <sheetViews>
    <sheetView tabSelected="1" zoomScaleNormal="100" workbookViewId="0">
      <selection activeCell="C11" sqref="C11"/>
    </sheetView>
  </sheetViews>
  <sheetFormatPr defaultColWidth="9.140625" defaultRowHeight="15" x14ac:dyDescent="0.25"/>
  <cols>
    <col min="1" max="1" width="15.5703125" style="136" customWidth="1"/>
    <col min="2" max="2" width="33.85546875" style="136" customWidth="1"/>
    <col min="3" max="3" width="62.28515625" style="136" customWidth="1"/>
    <col min="4" max="16384" width="9.140625" style="136"/>
  </cols>
  <sheetData>
    <row r="5" spans="2:4" x14ac:dyDescent="0.25">
      <c r="B5" s="137" t="s">
        <v>74</v>
      </c>
      <c r="C5" s="138" t="s">
        <v>75</v>
      </c>
    </row>
    <row r="6" spans="2:4" x14ac:dyDescent="0.25">
      <c r="B6" s="139"/>
      <c r="C6"/>
    </row>
    <row r="7" spans="2:4" x14ac:dyDescent="0.25">
      <c r="B7" s="139" t="s">
        <v>76</v>
      </c>
      <c r="C7" s="141">
        <v>44895</v>
      </c>
    </row>
    <row r="8" spans="2:4" x14ac:dyDescent="0.25">
      <c r="B8" s="139" t="s">
        <v>77</v>
      </c>
      <c r="C8" s="140" t="s">
        <v>83</v>
      </c>
    </row>
    <row r="9" spans="2:4" x14ac:dyDescent="0.25">
      <c r="B9" s="139" t="s">
        <v>78</v>
      </c>
      <c r="C9" s="140" t="s">
        <v>84</v>
      </c>
    </row>
    <row r="10" spans="2:4" x14ac:dyDescent="0.25">
      <c r="B10" s="139" t="s">
        <v>79</v>
      </c>
      <c r="C10" s="140" t="s">
        <v>85</v>
      </c>
    </row>
    <row r="11" spans="2:4" x14ac:dyDescent="0.25">
      <c r="B11" s="142" t="s">
        <v>80</v>
      </c>
      <c r="C11" s="177" t="s">
        <v>88</v>
      </c>
      <c r="D11" s="173" t="s">
        <v>86</v>
      </c>
    </row>
    <row r="12" spans="2:4" x14ac:dyDescent="0.25">
      <c r="B12" s="143" t="s">
        <v>81</v>
      </c>
      <c r="C12" s="144" t="s">
        <v>82</v>
      </c>
    </row>
  </sheetData>
  <hyperlinks>
    <hyperlink ref="C12" r:id="rId1" xr:uid="{53850327-1D37-42A9-8157-CA0AC0A5ACEA}"/>
    <hyperlink ref="C11" r:id="rId2" xr:uid="{C0DED6F2-2507-4D62-BCDE-8902EADCF1F7}"/>
  </hyperlinks>
  <pageMargins left="0.7" right="0.7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9D4E4-C137-4430-A5E3-26164EFA2060}">
  <sheetPr codeName="Ark4">
    <pageSetUpPr fitToPage="1"/>
  </sheetPr>
  <dimension ref="A1:Y53"/>
  <sheetViews>
    <sheetView zoomScale="130" zoomScaleNormal="130" workbookViewId="0">
      <selection activeCell="G3" sqref="G3"/>
    </sheetView>
  </sheetViews>
  <sheetFormatPr defaultRowHeight="15" x14ac:dyDescent="0.25"/>
  <cols>
    <col min="1" max="1" width="10.7109375" customWidth="1"/>
  </cols>
  <sheetData>
    <row r="1" spans="1:25" ht="23.25" x14ac:dyDescent="0.35">
      <c r="A1" s="4" t="s">
        <v>32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5.75" x14ac:dyDescent="0.25">
      <c r="A3" s="5" t="s">
        <v>30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x14ac:dyDescent="0.25">
      <c r="A4" s="1" t="s">
        <v>31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x14ac:dyDescent="0.25">
      <c r="A5" s="1" t="s">
        <v>58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15.75" x14ac:dyDescent="0.25">
      <c r="A7" s="5" t="s">
        <v>42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x14ac:dyDescent="0.25">
      <c r="A8" s="1" t="s">
        <v>72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x14ac:dyDescent="0.25">
      <c r="A10" s="1" t="s">
        <v>33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x14ac:dyDescent="0.25">
      <c r="A11" s="1" t="s">
        <v>34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x14ac:dyDescent="0.25">
      <c r="A12" s="1" t="s">
        <v>35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x14ac:dyDescent="0.25">
      <c r="A14" s="1" t="s">
        <v>36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x14ac:dyDescent="0.25">
      <c r="A15" s="1" t="s">
        <v>37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x14ac:dyDescent="0.25">
      <c r="A17" s="1" t="s">
        <v>38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x14ac:dyDescent="0.25">
      <c r="A18" s="1" t="s">
        <v>39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x14ac:dyDescent="0.25">
      <c r="A20" s="1" t="s">
        <v>40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x14ac:dyDescent="0.25">
      <c r="A21" s="1" t="s">
        <v>41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x14ac:dyDescent="0.25">
      <c r="A23" s="1" t="s">
        <v>54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x14ac:dyDescent="0.25">
      <c r="A24" s="1" t="s">
        <v>53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15.75" x14ac:dyDescent="0.25">
      <c r="A26" s="3" t="s">
        <v>47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x14ac:dyDescent="0.25">
      <c r="A27" s="1" t="s">
        <v>43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x14ac:dyDescent="0.25">
      <c r="A29" s="1" t="s">
        <v>45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x14ac:dyDescent="0.25">
      <c r="A30" s="1" t="s">
        <v>46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x14ac:dyDescent="0.25">
      <c r="A31" s="1" t="s">
        <v>44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15.75" x14ac:dyDescent="0.25">
      <c r="A33" s="3" t="s">
        <v>20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x14ac:dyDescent="0.25">
      <c r="A34" s="1" t="s">
        <v>57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x14ac:dyDescent="0.25">
      <c r="A36" s="1" t="s">
        <v>48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x14ac:dyDescent="0.25">
      <c r="A37" s="1" t="s">
        <v>49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x14ac:dyDescent="0.25">
      <c r="A38" s="1" t="s">
        <v>50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x14ac:dyDescent="0.25">
      <c r="A39" s="1" t="s">
        <v>51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x14ac:dyDescent="0.25">
      <c r="A40" s="1" t="s">
        <v>52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15.75" x14ac:dyDescent="0.25">
      <c r="A42" s="5" t="s">
        <v>55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x14ac:dyDescent="0.25">
      <c r="A43" s="1" t="s">
        <v>60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x14ac:dyDescent="0.25">
      <c r="A45" s="1" t="s">
        <v>61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x14ac:dyDescent="0.25">
      <c r="A46" s="1" t="s">
        <v>62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x14ac:dyDescent="0.25">
      <c r="A47" s="1" t="s">
        <v>63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5.75" x14ac:dyDescent="0.25">
      <c r="A49" s="2" t="s">
        <v>56</v>
      </c>
      <c r="B49" s="6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x14ac:dyDescent="0.25">
      <c r="A50" s="1" t="s">
        <v>64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</sheetData>
  <sheetProtection algorithmName="SHA-512" hashValue="jJVq9LlpCII5RzUbpscScA8HkixR8XDi9gBvbbSvH1vHzuYO1JCgrhf2JmsqAiSjim5QIvI1oqnppAv3x8Fgsw==" saltValue="2kvCIYQpcc/IFNLMut6osQ==" spinCount="100000" sheet="1" objects="1" scenarios="1"/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Y128"/>
  <sheetViews>
    <sheetView zoomScale="130" zoomScaleNormal="130" workbookViewId="0">
      <selection activeCell="B7" sqref="B7"/>
    </sheetView>
  </sheetViews>
  <sheetFormatPr defaultColWidth="8.85546875" defaultRowHeight="15" x14ac:dyDescent="0.25"/>
  <cols>
    <col min="1" max="1" width="46.85546875" style="17" customWidth="1"/>
    <col min="2" max="3" width="14.7109375" style="17" bestFit="1" customWidth="1"/>
    <col min="4" max="4" width="17.42578125" style="17" customWidth="1"/>
    <col min="5" max="5" width="1.85546875" style="17" customWidth="1"/>
    <col min="6" max="6" width="10.7109375" style="17" customWidth="1"/>
    <col min="7" max="7" width="14.7109375" style="17" bestFit="1" customWidth="1"/>
    <col min="8" max="8" width="13.5703125" style="17" bestFit="1" customWidth="1"/>
    <col min="9" max="9" width="13.42578125" style="17" customWidth="1"/>
    <col min="10" max="10" width="2" style="17" customWidth="1"/>
    <col min="11" max="11" width="10.7109375" style="17" customWidth="1"/>
    <col min="12" max="12" width="12.42578125" style="17" bestFit="1" customWidth="1"/>
    <col min="13" max="13" width="13.5703125" style="17" bestFit="1" customWidth="1"/>
    <col min="14" max="14" width="12" style="17" bestFit="1" customWidth="1"/>
    <col min="15" max="15" width="13.5703125" style="17" bestFit="1" customWidth="1"/>
    <col min="16" max="16" width="12.42578125" style="17" bestFit="1" customWidth="1"/>
    <col min="17" max="17" width="13.42578125" style="17" customWidth="1"/>
    <col min="18" max="18" width="2.42578125" style="17" customWidth="1"/>
    <col min="19" max="19" width="10.7109375" style="17" customWidth="1"/>
    <col min="20" max="20" width="12.42578125" style="17" bestFit="1" customWidth="1"/>
    <col min="21" max="21" width="13.5703125" style="17" customWidth="1"/>
    <col min="22" max="22" width="12" style="17" bestFit="1" customWidth="1"/>
    <col min="23" max="23" width="13.5703125" style="17" bestFit="1" customWidth="1"/>
    <col min="24" max="24" width="12.42578125" style="17" bestFit="1" customWidth="1"/>
    <col min="25" max="25" width="13.42578125" style="17" customWidth="1"/>
    <col min="26" max="16384" width="8.85546875" style="17"/>
  </cols>
  <sheetData>
    <row r="1" spans="1:25" s="145" customFormat="1" x14ac:dyDescent="0.25"/>
    <row r="2" spans="1:25" s="145" customFormat="1" x14ac:dyDescent="0.25"/>
    <row r="3" spans="1:25" s="145" customFormat="1" x14ac:dyDescent="0.25"/>
    <row r="4" spans="1:25" s="145" customFormat="1" ht="15.75" thickBot="1" x14ac:dyDescent="0.3"/>
    <row r="5" spans="1:25" ht="15.75" thickBot="1" x14ac:dyDescent="0.3">
      <c r="A5" s="7"/>
      <c r="B5" s="8" t="s">
        <v>5</v>
      </c>
      <c r="C5" s="8" t="s">
        <v>6</v>
      </c>
      <c r="D5" s="9" t="s">
        <v>7</v>
      </c>
      <c r="E5" s="10"/>
      <c r="F5" s="11" t="s">
        <v>15</v>
      </c>
      <c r="G5" s="12"/>
      <c r="H5" s="13"/>
      <c r="I5" s="14"/>
      <c r="J5" s="15"/>
      <c r="K5" s="164" t="s">
        <v>14</v>
      </c>
      <c r="L5" s="174" t="s">
        <v>5</v>
      </c>
      <c r="M5" s="175"/>
      <c r="N5" s="174" t="s">
        <v>6</v>
      </c>
      <c r="O5" s="175"/>
      <c r="P5" s="174" t="s">
        <v>7</v>
      </c>
      <c r="Q5" s="176"/>
      <c r="R5" s="165"/>
      <c r="S5" s="164" t="s">
        <v>70</v>
      </c>
      <c r="T5" s="174" t="s">
        <v>5</v>
      </c>
      <c r="U5" s="175"/>
      <c r="V5" s="174" t="s">
        <v>6</v>
      </c>
      <c r="W5" s="175"/>
      <c r="X5" s="174" t="s">
        <v>7</v>
      </c>
      <c r="Y5" s="176"/>
    </row>
    <row r="6" spans="1:25" x14ac:dyDescent="0.25">
      <c r="A6" s="18"/>
      <c r="B6" s="19"/>
      <c r="C6" s="20"/>
      <c r="D6" s="21"/>
      <c r="E6" s="22"/>
      <c r="F6" s="23" t="s">
        <v>3</v>
      </c>
      <c r="G6" s="24" t="s">
        <v>5</v>
      </c>
      <c r="H6" s="24" t="s">
        <v>6</v>
      </c>
      <c r="I6" s="25" t="s">
        <v>7</v>
      </c>
      <c r="K6" s="166" t="s">
        <v>3</v>
      </c>
      <c r="L6" s="167" t="s">
        <v>22</v>
      </c>
      <c r="M6" s="168" t="s">
        <v>14</v>
      </c>
      <c r="N6" s="167" t="s">
        <v>22</v>
      </c>
      <c r="O6" s="168" t="s">
        <v>14</v>
      </c>
      <c r="P6" s="167" t="s">
        <v>22</v>
      </c>
      <c r="Q6" s="169" t="s">
        <v>14</v>
      </c>
      <c r="R6" s="170"/>
      <c r="S6" s="166" t="s">
        <v>3</v>
      </c>
      <c r="T6" s="167" t="s">
        <v>22</v>
      </c>
      <c r="U6" s="168" t="s">
        <v>14</v>
      </c>
      <c r="V6" s="167" t="s">
        <v>22</v>
      </c>
      <c r="W6" s="168" t="s">
        <v>14</v>
      </c>
      <c r="X6" s="167" t="s">
        <v>22</v>
      </c>
      <c r="Y6" s="169" t="s">
        <v>14</v>
      </c>
    </row>
    <row r="7" spans="1:25" x14ac:dyDescent="0.25">
      <c r="A7" s="18" t="s">
        <v>0</v>
      </c>
      <c r="B7" s="122">
        <v>50000</v>
      </c>
      <c r="C7" s="122">
        <v>50000</v>
      </c>
      <c r="D7" s="123">
        <v>50000</v>
      </c>
      <c r="E7" s="22"/>
      <c r="F7" s="146">
        <v>0</v>
      </c>
      <c r="G7" s="147">
        <f>-B13</f>
        <v>-200000</v>
      </c>
      <c r="H7" s="147">
        <f>-C13</f>
        <v>-140000</v>
      </c>
      <c r="I7" s="148">
        <f>-D13</f>
        <v>-200000</v>
      </c>
      <c r="J7" s="149"/>
      <c r="K7" s="146">
        <v>0</v>
      </c>
      <c r="L7" s="150"/>
      <c r="M7" s="151">
        <f>+G7</f>
        <v>-200000</v>
      </c>
      <c r="N7" s="150"/>
      <c r="O7" s="151">
        <f>+H7</f>
        <v>-140000</v>
      </c>
      <c r="P7" s="152"/>
      <c r="Q7" s="148">
        <f>+I7</f>
        <v>-200000</v>
      </c>
      <c r="R7" s="147"/>
      <c r="S7" s="146">
        <v>0</v>
      </c>
      <c r="T7" s="150"/>
      <c r="U7" s="151">
        <f>+M7</f>
        <v>-200000</v>
      </c>
      <c r="V7" s="150"/>
      <c r="W7" s="151">
        <f>+O7</f>
        <v>-140000</v>
      </c>
      <c r="X7" s="152"/>
      <c r="Y7" s="148">
        <f>+Q7</f>
        <v>-200000</v>
      </c>
    </row>
    <row r="8" spans="1:25" x14ac:dyDescent="0.25">
      <c r="A8" s="18" t="s">
        <v>8</v>
      </c>
      <c r="B8" s="122">
        <v>0</v>
      </c>
      <c r="C8" s="122">
        <v>0</v>
      </c>
      <c r="D8" s="123">
        <v>0</v>
      </c>
      <c r="E8" s="30"/>
      <c r="F8" s="153">
        <v>1</v>
      </c>
      <c r="G8" s="154">
        <f t="shared" ref="G8:G37" si="0">IF(F8&lt;=$B$14,$B$7*(1+$B$31)^F8-($B$10*(1+$B$32)^F8),0)+IF(F8=$B$14,$B$15,0)</f>
        <v>30000</v>
      </c>
      <c r="H8" s="154">
        <f t="shared" ref="H8:H37" si="1">IF(F8&lt;=$C$14,$C$7*(1+$C$31)^F8-($C$10*(1+$C$32)^F8),0)+IF(F8=$C$14,$C$15,0)</f>
        <v>35000</v>
      </c>
      <c r="I8" s="155">
        <f t="shared" ref="I8:I37" si="2">IF(F8&lt;=$D$14,$D$7*(1+$D$31)^F8-($D$10*(1+$D$32)^F8),0)+IF(F8=$D$14,$D$15,0)</f>
        <v>25000</v>
      </c>
      <c r="J8" s="149"/>
      <c r="K8" s="153">
        <v>1</v>
      </c>
      <c r="L8" s="156">
        <f>IF(K8&lt;=$B$14,+M7*$B$17,0)</f>
        <v>-12000</v>
      </c>
      <c r="M8" s="151">
        <f>IF(K8&lt;=$B$14,+G8+L8+M7,0)</f>
        <v>-182000</v>
      </c>
      <c r="N8" s="156">
        <f>IF(K8&lt;=$C$14,+O7*$C$17,0)</f>
        <v>-8400</v>
      </c>
      <c r="O8" s="151">
        <f>IF(K8&lt;=$C$14,+H8+N8+O7,0)</f>
        <v>-113400</v>
      </c>
      <c r="P8" s="154">
        <f t="shared" ref="P8:P37" si="3">IF(K8&lt;=$D$14,+Q7*$D$17,0)</f>
        <v>-12000</v>
      </c>
      <c r="Q8" s="148">
        <f>IF(K8&lt;=$D$14,+I8+P8+Q7,0)</f>
        <v>-187000</v>
      </c>
      <c r="R8" s="147"/>
      <c r="S8" s="153">
        <v>1</v>
      </c>
      <c r="T8" s="156">
        <f>IF(K8&lt;=$B$14,+M7*$B$17,0)</f>
        <v>-12000</v>
      </c>
      <c r="U8" s="151">
        <f>IF(S8&lt;=$B$14,+((G8+T8)*((1+$B$17)^-S8))+U7,0)</f>
        <v>-183018.86792452831</v>
      </c>
      <c r="V8" s="156">
        <f>IF(K8&lt;=$C$14,+O7*$C$17,0)</f>
        <v>-8400</v>
      </c>
      <c r="W8" s="151">
        <f>IF(S8&lt;=$C$14,+((H8+V8)*((1+$C$17)^-S8))+W7,0)</f>
        <v>-114905.66037735849</v>
      </c>
      <c r="X8" s="154">
        <f>IF(K8&lt;=$D$14,+Q7*$D$17,0)</f>
        <v>-12000</v>
      </c>
      <c r="Y8" s="148">
        <f>IF(S8&lt;=$D$14,+((I8+X8)*((1+$D$17)^-S8))+Y7,0)</f>
        <v>-187735.84905660377</v>
      </c>
    </row>
    <row r="9" spans="1:25" x14ac:dyDescent="0.25">
      <c r="A9" s="34" t="s">
        <v>1</v>
      </c>
      <c r="B9" s="28">
        <f>+B7-B8</f>
        <v>50000</v>
      </c>
      <c r="C9" s="28">
        <f t="shared" ref="C9:D9" si="4">+C7-C8</f>
        <v>50000</v>
      </c>
      <c r="D9" s="29">
        <f t="shared" si="4"/>
        <v>50000</v>
      </c>
      <c r="E9" s="22"/>
      <c r="F9" s="153">
        <v>2</v>
      </c>
      <c r="G9" s="154">
        <f t="shared" si="0"/>
        <v>30000</v>
      </c>
      <c r="H9" s="154">
        <f t="shared" si="1"/>
        <v>35000</v>
      </c>
      <c r="I9" s="155">
        <f t="shared" si="2"/>
        <v>25000</v>
      </c>
      <c r="J9" s="149"/>
      <c r="K9" s="153">
        <v>2</v>
      </c>
      <c r="L9" s="156">
        <f t="shared" ref="L9:L37" si="5">IF(K9&lt;=$B$14,+M8*$B$17,0)</f>
        <v>-10920</v>
      </c>
      <c r="M9" s="151">
        <f t="shared" ref="M9:M37" si="6">IF(K9&lt;=$B$14,+G9+L9+M8,0)</f>
        <v>-162920</v>
      </c>
      <c r="N9" s="156">
        <f>IF(K9&lt;=$C$14,+O8*$C$17,0)</f>
        <v>-6804</v>
      </c>
      <c r="O9" s="151">
        <f t="shared" ref="O9:O37" si="7">IF(K9&lt;=$C$14,+H9+N9+O8,0)</f>
        <v>-85204</v>
      </c>
      <c r="P9" s="154">
        <f t="shared" si="3"/>
        <v>-11220</v>
      </c>
      <c r="Q9" s="148">
        <f t="shared" ref="Q9:Q37" si="8">IF(K9&lt;=$D$14,+I9+P9+Q8,0)</f>
        <v>-173220</v>
      </c>
      <c r="R9" s="147"/>
      <c r="S9" s="153">
        <v>2</v>
      </c>
      <c r="T9" s="156">
        <f t="shared" ref="T9:T37" si="9">IF(K9&lt;=$B$14,+M8*$B$17,0)</f>
        <v>-10920</v>
      </c>
      <c r="U9" s="151">
        <f t="shared" ref="U9:U37" si="10">IF(S9&lt;=$B$14,+((G9+T9)*((1+$B$17)^-S9))+U8,0)</f>
        <v>-166037.73584905663</v>
      </c>
      <c r="V9" s="156">
        <f t="shared" ref="V9:V37" si="11">IF(K9&lt;=$C$14,+O8*$C$17,0)</f>
        <v>-6804</v>
      </c>
      <c r="W9" s="151">
        <f t="shared" ref="W9:W37" si="12">IF(S9&lt;=$C$14,+((H9+V9)*((1+$C$17)^-S9))+W8,0)</f>
        <v>-89811.320754716988</v>
      </c>
      <c r="X9" s="154">
        <f t="shared" ref="X9:X37" si="13">IF(K9&lt;=$D$14,+Q8*$D$17,0)</f>
        <v>-11220</v>
      </c>
      <c r="Y9" s="148">
        <f t="shared" ref="Y9:Y37" si="14">IF(S9&lt;=$D$14,+((I9+X9)*((1+$D$17)^-S9))+Y8,0)</f>
        <v>-175471.69811320753</v>
      </c>
    </row>
    <row r="10" spans="1:25" x14ac:dyDescent="0.25">
      <c r="A10" s="35" t="s">
        <v>28</v>
      </c>
      <c r="B10" s="124">
        <v>20000</v>
      </c>
      <c r="C10" s="124">
        <v>15000</v>
      </c>
      <c r="D10" s="125">
        <v>25000</v>
      </c>
      <c r="E10" s="22"/>
      <c r="F10" s="153">
        <v>3</v>
      </c>
      <c r="G10" s="154">
        <f t="shared" si="0"/>
        <v>30000</v>
      </c>
      <c r="H10" s="154">
        <f t="shared" si="1"/>
        <v>35000</v>
      </c>
      <c r="I10" s="155">
        <f t="shared" si="2"/>
        <v>25000</v>
      </c>
      <c r="J10" s="149"/>
      <c r="K10" s="153">
        <v>3</v>
      </c>
      <c r="L10" s="156">
        <f t="shared" si="5"/>
        <v>-9775.1999999999989</v>
      </c>
      <c r="M10" s="151">
        <f t="shared" si="6"/>
        <v>-142695.20000000001</v>
      </c>
      <c r="N10" s="156">
        <f t="shared" ref="N10:N37" si="15">IF(K10&lt;=$C$14,+O9*$C$17,0)</f>
        <v>-5112.24</v>
      </c>
      <c r="O10" s="151">
        <f t="shared" si="7"/>
        <v>-55316.24</v>
      </c>
      <c r="P10" s="154">
        <f t="shared" si="3"/>
        <v>-10393.199999999999</v>
      </c>
      <c r="Q10" s="148">
        <f t="shared" si="8"/>
        <v>-158613.20000000001</v>
      </c>
      <c r="R10" s="147"/>
      <c r="S10" s="153">
        <v>3</v>
      </c>
      <c r="T10" s="156">
        <f t="shared" si="9"/>
        <v>-9775.1999999999989</v>
      </c>
      <c r="U10" s="151">
        <f t="shared" si="10"/>
        <v>-149056.60377358494</v>
      </c>
      <c r="V10" s="156">
        <f t="shared" si="11"/>
        <v>-5112.24</v>
      </c>
      <c r="W10" s="151">
        <f t="shared" si="12"/>
        <v>-64716.981132075482</v>
      </c>
      <c r="X10" s="154">
        <f t="shared" si="13"/>
        <v>-10393.199999999999</v>
      </c>
      <c r="Y10" s="148">
        <f t="shared" si="14"/>
        <v>-163207.5471698113</v>
      </c>
    </row>
    <row r="11" spans="1:25" ht="15.75" thickBot="1" x14ac:dyDescent="0.3">
      <c r="A11" s="36" t="s">
        <v>65</v>
      </c>
      <c r="B11" s="37">
        <f>+B9-B10</f>
        <v>30000</v>
      </c>
      <c r="C11" s="37">
        <f t="shared" ref="C11:D11" si="16">+C9-C10</f>
        <v>35000</v>
      </c>
      <c r="D11" s="38">
        <f t="shared" si="16"/>
        <v>25000</v>
      </c>
      <c r="E11" s="22"/>
      <c r="F11" s="153">
        <v>4</v>
      </c>
      <c r="G11" s="154">
        <f t="shared" si="0"/>
        <v>30000</v>
      </c>
      <c r="H11" s="154">
        <f t="shared" si="1"/>
        <v>35000</v>
      </c>
      <c r="I11" s="155">
        <f t="shared" si="2"/>
        <v>25000</v>
      </c>
      <c r="J11" s="149"/>
      <c r="K11" s="153">
        <v>4</v>
      </c>
      <c r="L11" s="156">
        <f t="shared" si="5"/>
        <v>-8561.7119999999995</v>
      </c>
      <c r="M11" s="151">
        <f t="shared" si="6"/>
        <v>-121256.91200000001</v>
      </c>
      <c r="N11" s="156">
        <f t="shared" si="15"/>
        <v>-3318.9743999999996</v>
      </c>
      <c r="O11" s="151">
        <f t="shared" si="7"/>
        <v>-23635.214399999997</v>
      </c>
      <c r="P11" s="154">
        <f t="shared" si="3"/>
        <v>-9516.7919999999995</v>
      </c>
      <c r="Q11" s="148">
        <f t="shared" si="8"/>
        <v>-143129.992</v>
      </c>
      <c r="R11" s="147"/>
      <c r="S11" s="153">
        <v>4</v>
      </c>
      <c r="T11" s="156">
        <f t="shared" si="9"/>
        <v>-8561.7119999999995</v>
      </c>
      <c r="U11" s="151">
        <f t="shared" si="10"/>
        <v>-132075.47169811325</v>
      </c>
      <c r="V11" s="156">
        <f t="shared" si="11"/>
        <v>-3318.9743999999996</v>
      </c>
      <c r="W11" s="151">
        <f t="shared" si="12"/>
        <v>-39622.641509433975</v>
      </c>
      <c r="X11" s="154">
        <f t="shared" si="13"/>
        <v>-9516.7919999999995</v>
      </c>
      <c r="Y11" s="148">
        <f t="shared" si="14"/>
        <v>-150943.39622641506</v>
      </c>
    </row>
    <row r="12" spans="1:25" x14ac:dyDescent="0.25">
      <c r="A12" s="39"/>
      <c r="B12" s="40"/>
      <c r="C12" s="40"/>
      <c r="D12" s="41"/>
      <c r="E12" s="22"/>
      <c r="F12" s="153">
        <v>5</v>
      </c>
      <c r="G12" s="154">
        <f t="shared" si="0"/>
        <v>30000</v>
      </c>
      <c r="H12" s="154">
        <f t="shared" si="1"/>
        <v>60000</v>
      </c>
      <c r="I12" s="155">
        <f t="shared" si="2"/>
        <v>25000</v>
      </c>
      <c r="J12" s="149"/>
      <c r="K12" s="153">
        <v>5</v>
      </c>
      <c r="L12" s="156">
        <f t="shared" si="5"/>
        <v>-7275.4147200000007</v>
      </c>
      <c r="M12" s="151">
        <f t="shared" si="6"/>
        <v>-98532.326720000012</v>
      </c>
      <c r="N12" s="156">
        <f t="shared" si="15"/>
        <v>-1418.1128639999997</v>
      </c>
      <c r="O12" s="151">
        <f t="shared" si="7"/>
        <v>34946.672736</v>
      </c>
      <c r="P12" s="154">
        <f t="shared" si="3"/>
        <v>-8587.7995200000005</v>
      </c>
      <c r="Q12" s="148">
        <f t="shared" si="8"/>
        <v>-126717.79152</v>
      </c>
      <c r="R12" s="147"/>
      <c r="S12" s="153">
        <v>5</v>
      </c>
      <c r="T12" s="156">
        <f t="shared" si="9"/>
        <v>-7275.4147200000007</v>
      </c>
      <c r="U12" s="151">
        <f t="shared" si="10"/>
        <v>-115094.33962264156</v>
      </c>
      <c r="V12" s="156">
        <f t="shared" si="11"/>
        <v>-1418.1128639999997</v>
      </c>
      <c r="W12" s="151">
        <f t="shared" si="12"/>
        <v>4153.1524348589446</v>
      </c>
      <c r="X12" s="154">
        <f t="shared" si="13"/>
        <v>-8587.7995200000005</v>
      </c>
      <c r="Y12" s="148">
        <f t="shared" si="14"/>
        <v>-138679.24528301883</v>
      </c>
    </row>
    <row r="13" spans="1:25" x14ac:dyDescent="0.25">
      <c r="A13" s="42" t="s">
        <v>9</v>
      </c>
      <c r="B13" s="122">
        <v>200000</v>
      </c>
      <c r="C13" s="122">
        <v>140000</v>
      </c>
      <c r="D13" s="123">
        <v>200000</v>
      </c>
      <c r="E13" s="10"/>
      <c r="F13" s="153">
        <v>6</v>
      </c>
      <c r="G13" s="154">
        <f t="shared" si="0"/>
        <v>30000</v>
      </c>
      <c r="H13" s="154">
        <f t="shared" si="1"/>
        <v>0</v>
      </c>
      <c r="I13" s="155">
        <f t="shared" si="2"/>
        <v>25000</v>
      </c>
      <c r="J13" s="157"/>
      <c r="K13" s="153">
        <v>6</v>
      </c>
      <c r="L13" s="156">
        <f t="shared" si="5"/>
        <v>-5911.9396032000004</v>
      </c>
      <c r="M13" s="151">
        <f t="shared" si="6"/>
        <v>-74444.26632320002</v>
      </c>
      <c r="N13" s="156">
        <f t="shared" si="15"/>
        <v>0</v>
      </c>
      <c r="O13" s="151">
        <f t="shared" si="7"/>
        <v>0</v>
      </c>
      <c r="P13" s="154">
        <f t="shared" si="3"/>
        <v>-7603.0674911999995</v>
      </c>
      <c r="Q13" s="148">
        <f t="shared" si="8"/>
        <v>-109320.85901119999</v>
      </c>
      <c r="R13" s="147"/>
      <c r="S13" s="153">
        <v>6</v>
      </c>
      <c r="T13" s="156">
        <f t="shared" si="9"/>
        <v>-5911.9396032000004</v>
      </c>
      <c r="U13" s="151">
        <f t="shared" si="10"/>
        <v>-98113.207547169877</v>
      </c>
      <c r="V13" s="156">
        <f t="shared" si="11"/>
        <v>0</v>
      </c>
      <c r="W13" s="151">
        <f t="shared" si="12"/>
        <v>0</v>
      </c>
      <c r="X13" s="154">
        <f t="shared" si="13"/>
        <v>-7603.0674911999995</v>
      </c>
      <c r="Y13" s="148">
        <f t="shared" si="14"/>
        <v>-126415.09433962261</v>
      </c>
    </row>
    <row r="14" spans="1:25" x14ac:dyDescent="0.25">
      <c r="A14" s="42" t="s">
        <v>2</v>
      </c>
      <c r="B14" s="126">
        <v>10</v>
      </c>
      <c r="C14" s="126">
        <v>5</v>
      </c>
      <c r="D14" s="127">
        <v>12</v>
      </c>
      <c r="E14" s="22"/>
      <c r="F14" s="153">
        <v>7</v>
      </c>
      <c r="G14" s="154">
        <f t="shared" si="0"/>
        <v>30000</v>
      </c>
      <c r="H14" s="154">
        <f t="shared" si="1"/>
        <v>0</v>
      </c>
      <c r="I14" s="155">
        <f t="shared" si="2"/>
        <v>25000</v>
      </c>
      <c r="J14" s="149"/>
      <c r="K14" s="153">
        <v>7</v>
      </c>
      <c r="L14" s="156">
        <f t="shared" si="5"/>
        <v>-4466.6559793920014</v>
      </c>
      <c r="M14" s="151">
        <f t="shared" si="6"/>
        <v>-48910.922302592022</v>
      </c>
      <c r="N14" s="156">
        <f t="shared" si="15"/>
        <v>0</v>
      </c>
      <c r="O14" s="151">
        <f t="shared" si="7"/>
        <v>0</v>
      </c>
      <c r="P14" s="154">
        <f t="shared" si="3"/>
        <v>-6559.2515406719995</v>
      </c>
      <c r="Q14" s="148">
        <f t="shared" si="8"/>
        <v>-90880.110551872</v>
      </c>
      <c r="R14" s="147"/>
      <c r="S14" s="153">
        <v>7</v>
      </c>
      <c r="T14" s="156">
        <f t="shared" si="9"/>
        <v>-4466.6559793920014</v>
      </c>
      <c r="U14" s="151">
        <f t="shared" si="10"/>
        <v>-81132.07547169819</v>
      </c>
      <c r="V14" s="156">
        <f t="shared" si="11"/>
        <v>0</v>
      </c>
      <c r="W14" s="151">
        <f t="shared" si="12"/>
        <v>0</v>
      </c>
      <c r="X14" s="154">
        <f t="shared" si="13"/>
        <v>-6559.2515406719995</v>
      </c>
      <c r="Y14" s="148">
        <f t="shared" si="14"/>
        <v>-114150.94339622639</v>
      </c>
    </row>
    <row r="15" spans="1:25" x14ac:dyDescent="0.25">
      <c r="A15" s="42" t="s">
        <v>11</v>
      </c>
      <c r="B15" s="122">
        <v>25000</v>
      </c>
      <c r="C15" s="122">
        <v>25000</v>
      </c>
      <c r="D15" s="123">
        <v>25000</v>
      </c>
      <c r="E15" s="10"/>
      <c r="F15" s="153">
        <v>8</v>
      </c>
      <c r="G15" s="154">
        <f t="shared" si="0"/>
        <v>30000</v>
      </c>
      <c r="H15" s="154">
        <f t="shared" si="1"/>
        <v>0</v>
      </c>
      <c r="I15" s="155">
        <f t="shared" si="2"/>
        <v>25000</v>
      </c>
      <c r="J15" s="157"/>
      <c r="K15" s="153">
        <v>8</v>
      </c>
      <c r="L15" s="156">
        <f t="shared" si="5"/>
        <v>-2934.6553381555213</v>
      </c>
      <c r="M15" s="151">
        <f t="shared" si="6"/>
        <v>-21845.577640747542</v>
      </c>
      <c r="N15" s="156">
        <f t="shared" si="15"/>
        <v>0</v>
      </c>
      <c r="O15" s="151">
        <f t="shared" si="7"/>
        <v>0</v>
      </c>
      <c r="P15" s="154">
        <f t="shared" si="3"/>
        <v>-5452.80663311232</v>
      </c>
      <c r="Q15" s="148">
        <f t="shared" si="8"/>
        <v>-71332.917184984311</v>
      </c>
      <c r="R15" s="147"/>
      <c r="S15" s="153">
        <v>8</v>
      </c>
      <c r="T15" s="156">
        <f t="shared" si="9"/>
        <v>-2934.6553381555213</v>
      </c>
      <c r="U15" s="151">
        <f t="shared" si="10"/>
        <v>-64150.943396226503</v>
      </c>
      <c r="V15" s="156">
        <f t="shared" si="11"/>
        <v>0</v>
      </c>
      <c r="W15" s="151">
        <f t="shared" si="12"/>
        <v>0</v>
      </c>
      <c r="X15" s="154">
        <f t="shared" si="13"/>
        <v>-5452.80663311232</v>
      </c>
      <c r="Y15" s="148">
        <f t="shared" si="14"/>
        <v>-101886.79245283017</v>
      </c>
    </row>
    <row r="16" spans="1:25" x14ac:dyDescent="0.25">
      <c r="A16" s="43"/>
      <c r="B16" s="40"/>
      <c r="C16" s="40"/>
      <c r="D16" s="41"/>
      <c r="E16" s="22"/>
      <c r="F16" s="153">
        <v>9</v>
      </c>
      <c r="G16" s="154">
        <f t="shared" si="0"/>
        <v>30000</v>
      </c>
      <c r="H16" s="154">
        <f t="shared" si="1"/>
        <v>0</v>
      </c>
      <c r="I16" s="155">
        <f t="shared" si="2"/>
        <v>25000</v>
      </c>
      <c r="J16" s="149"/>
      <c r="K16" s="153">
        <v>9</v>
      </c>
      <c r="L16" s="156">
        <f t="shared" si="5"/>
        <v>-1310.7346584448526</v>
      </c>
      <c r="M16" s="151">
        <f t="shared" si="6"/>
        <v>6843.6877008076044</v>
      </c>
      <c r="N16" s="156">
        <f t="shared" si="15"/>
        <v>0</v>
      </c>
      <c r="O16" s="151">
        <f t="shared" si="7"/>
        <v>0</v>
      </c>
      <c r="P16" s="154">
        <f t="shared" si="3"/>
        <v>-4279.9750310990585</v>
      </c>
      <c r="Q16" s="148">
        <f t="shared" si="8"/>
        <v>-50612.892216083368</v>
      </c>
      <c r="R16" s="147"/>
      <c r="S16" s="153">
        <v>9</v>
      </c>
      <c r="T16" s="156">
        <f t="shared" si="9"/>
        <v>-1310.7346584448526</v>
      </c>
      <c r="U16" s="151">
        <f t="shared" si="10"/>
        <v>-47169.811320754816</v>
      </c>
      <c r="V16" s="156">
        <f t="shared" si="11"/>
        <v>0</v>
      </c>
      <c r="W16" s="151">
        <f t="shared" si="12"/>
        <v>0</v>
      </c>
      <c r="X16" s="154">
        <f t="shared" si="13"/>
        <v>-4279.9750310990585</v>
      </c>
      <c r="Y16" s="148">
        <f t="shared" si="14"/>
        <v>-89622.641509433946</v>
      </c>
    </row>
    <row r="17" spans="1:25" x14ac:dyDescent="0.25">
      <c r="A17" s="42" t="s">
        <v>12</v>
      </c>
      <c r="B17" s="128">
        <v>0.06</v>
      </c>
      <c r="C17" s="128">
        <v>0.06</v>
      </c>
      <c r="D17" s="129">
        <v>0.06</v>
      </c>
      <c r="E17" s="22"/>
      <c r="F17" s="153">
        <v>10</v>
      </c>
      <c r="G17" s="154">
        <f t="shared" si="0"/>
        <v>55000</v>
      </c>
      <c r="H17" s="154">
        <f t="shared" si="1"/>
        <v>0</v>
      </c>
      <c r="I17" s="155">
        <f t="shared" si="2"/>
        <v>25000</v>
      </c>
      <c r="J17" s="149"/>
      <c r="K17" s="153">
        <v>10</v>
      </c>
      <c r="L17" s="156">
        <f t="shared" si="5"/>
        <v>410.62126204845623</v>
      </c>
      <c r="M17" s="151">
        <f t="shared" si="6"/>
        <v>62254.308962856063</v>
      </c>
      <c r="N17" s="156">
        <f t="shared" si="15"/>
        <v>0</v>
      </c>
      <c r="O17" s="151">
        <f t="shared" si="7"/>
        <v>0</v>
      </c>
      <c r="P17" s="154">
        <f t="shared" si="3"/>
        <v>-3036.7735329650018</v>
      </c>
      <c r="Q17" s="148">
        <f t="shared" si="8"/>
        <v>-28649.66574904837</v>
      </c>
      <c r="R17" s="147"/>
      <c r="S17" s="153">
        <v>10</v>
      </c>
      <c r="T17" s="156">
        <f t="shared" si="9"/>
        <v>410.62126204845623</v>
      </c>
      <c r="U17" s="151">
        <f t="shared" si="10"/>
        <v>-16228.809822405179</v>
      </c>
      <c r="V17" s="156">
        <f t="shared" si="11"/>
        <v>0</v>
      </c>
      <c r="W17" s="151">
        <f t="shared" si="12"/>
        <v>0</v>
      </c>
      <c r="X17" s="154">
        <f t="shared" si="13"/>
        <v>-3036.7735329650018</v>
      </c>
      <c r="Y17" s="148">
        <f t="shared" si="14"/>
        <v>-77358.490566037726</v>
      </c>
    </row>
    <row r="18" spans="1:25" x14ac:dyDescent="0.25">
      <c r="A18" s="42" t="s">
        <v>29</v>
      </c>
      <c r="B18" s="128">
        <v>0</v>
      </c>
      <c r="C18" s="128">
        <v>0</v>
      </c>
      <c r="D18" s="129">
        <v>0</v>
      </c>
      <c r="E18" s="22"/>
      <c r="F18" s="153">
        <v>11</v>
      </c>
      <c r="G18" s="154">
        <f t="shared" si="0"/>
        <v>0</v>
      </c>
      <c r="H18" s="154">
        <f t="shared" si="1"/>
        <v>0</v>
      </c>
      <c r="I18" s="155">
        <f t="shared" si="2"/>
        <v>25000</v>
      </c>
      <c r="J18" s="149"/>
      <c r="K18" s="153">
        <v>11</v>
      </c>
      <c r="L18" s="156">
        <f t="shared" si="5"/>
        <v>0</v>
      </c>
      <c r="M18" s="151">
        <f t="shared" si="6"/>
        <v>0</v>
      </c>
      <c r="N18" s="156">
        <f t="shared" si="15"/>
        <v>0</v>
      </c>
      <c r="O18" s="151">
        <f t="shared" si="7"/>
        <v>0</v>
      </c>
      <c r="P18" s="154">
        <f t="shared" si="3"/>
        <v>-1718.9799449429022</v>
      </c>
      <c r="Q18" s="148">
        <f t="shared" si="8"/>
        <v>-5368.6456939912714</v>
      </c>
      <c r="R18" s="147"/>
      <c r="S18" s="153">
        <v>11</v>
      </c>
      <c r="T18" s="156">
        <f t="shared" si="9"/>
        <v>0</v>
      </c>
      <c r="U18" s="151">
        <f t="shared" si="10"/>
        <v>0</v>
      </c>
      <c r="V18" s="156">
        <f t="shared" si="11"/>
        <v>0</v>
      </c>
      <c r="W18" s="151">
        <f t="shared" si="12"/>
        <v>0</v>
      </c>
      <c r="X18" s="154">
        <f t="shared" si="13"/>
        <v>-1718.9799449429022</v>
      </c>
      <c r="Y18" s="148">
        <f t="shared" si="14"/>
        <v>-65094.339622641506</v>
      </c>
    </row>
    <row r="19" spans="1:25" x14ac:dyDescent="0.25">
      <c r="A19" s="39"/>
      <c r="B19" s="44"/>
      <c r="C19" s="44"/>
      <c r="D19" s="45"/>
      <c r="E19" s="22"/>
      <c r="F19" s="153">
        <v>12</v>
      </c>
      <c r="G19" s="154">
        <f t="shared" si="0"/>
        <v>0</v>
      </c>
      <c r="H19" s="154">
        <f t="shared" si="1"/>
        <v>0</v>
      </c>
      <c r="I19" s="155">
        <f t="shared" si="2"/>
        <v>50000</v>
      </c>
      <c r="J19" s="149"/>
      <c r="K19" s="153">
        <v>12</v>
      </c>
      <c r="L19" s="156">
        <f t="shared" si="5"/>
        <v>0</v>
      </c>
      <c r="M19" s="151">
        <f t="shared" si="6"/>
        <v>0</v>
      </c>
      <c r="N19" s="156">
        <f t="shared" si="15"/>
        <v>0</v>
      </c>
      <c r="O19" s="151">
        <f t="shared" si="7"/>
        <v>0</v>
      </c>
      <c r="P19" s="154">
        <f t="shared" si="3"/>
        <v>-322.1187416394763</v>
      </c>
      <c r="Q19" s="148">
        <f t="shared" si="8"/>
        <v>44309.235564369257</v>
      </c>
      <c r="R19" s="147"/>
      <c r="S19" s="153">
        <v>12</v>
      </c>
      <c r="T19" s="156">
        <f t="shared" si="9"/>
        <v>0</v>
      </c>
      <c r="U19" s="151">
        <f t="shared" si="10"/>
        <v>0</v>
      </c>
      <c r="V19" s="156">
        <f t="shared" si="11"/>
        <v>0</v>
      </c>
      <c r="W19" s="151">
        <f t="shared" si="12"/>
        <v>0</v>
      </c>
      <c r="X19" s="154">
        <f t="shared" si="13"/>
        <v>-322.1187416394763</v>
      </c>
      <c r="Y19" s="148">
        <f t="shared" si="14"/>
        <v>-40405.954589820278</v>
      </c>
    </row>
    <row r="20" spans="1:25" x14ac:dyDescent="0.25">
      <c r="A20" s="42" t="s">
        <v>16</v>
      </c>
      <c r="B20" s="40">
        <f>NPV(B17-B18,G8:G37)+G7</f>
        <v>34762.480965318799</v>
      </c>
      <c r="C20" s="40">
        <f>NPV(C17-C18,H8:H37)+H7</f>
        <v>26114.186816451373</v>
      </c>
      <c r="D20" s="40">
        <f>NPV(D17-D18,I8:I37)+I7</f>
        <v>22020.332599007874</v>
      </c>
      <c r="E20" s="22"/>
      <c r="F20" s="153">
        <v>13</v>
      </c>
      <c r="G20" s="154">
        <f t="shared" si="0"/>
        <v>0</v>
      </c>
      <c r="H20" s="154">
        <f t="shared" si="1"/>
        <v>0</v>
      </c>
      <c r="I20" s="155">
        <f t="shared" si="2"/>
        <v>0</v>
      </c>
      <c r="J20" s="149"/>
      <c r="K20" s="153">
        <v>13</v>
      </c>
      <c r="L20" s="156">
        <f t="shared" si="5"/>
        <v>0</v>
      </c>
      <c r="M20" s="151">
        <f t="shared" si="6"/>
        <v>0</v>
      </c>
      <c r="N20" s="156">
        <f t="shared" si="15"/>
        <v>0</v>
      </c>
      <c r="O20" s="151">
        <f t="shared" si="7"/>
        <v>0</v>
      </c>
      <c r="P20" s="154">
        <f t="shared" si="3"/>
        <v>0</v>
      </c>
      <c r="Q20" s="148">
        <f t="shared" si="8"/>
        <v>0</v>
      </c>
      <c r="R20" s="147"/>
      <c r="S20" s="153">
        <v>13</v>
      </c>
      <c r="T20" s="156">
        <f t="shared" si="9"/>
        <v>0</v>
      </c>
      <c r="U20" s="151">
        <f t="shared" si="10"/>
        <v>0</v>
      </c>
      <c r="V20" s="156">
        <f t="shared" si="11"/>
        <v>0</v>
      </c>
      <c r="W20" s="151">
        <f t="shared" si="12"/>
        <v>0</v>
      </c>
      <c r="X20" s="154">
        <f t="shared" si="13"/>
        <v>0</v>
      </c>
      <c r="Y20" s="148">
        <f t="shared" si="14"/>
        <v>0</v>
      </c>
    </row>
    <row r="21" spans="1:25" x14ac:dyDescent="0.25">
      <c r="A21" s="42" t="s">
        <v>73</v>
      </c>
      <c r="B21" s="46">
        <f>IRR(G7:G37,B17-B18)</f>
        <v>9.3311111094043664E-2</v>
      </c>
      <c r="C21" s="46">
        <f t="shared" ref="C21:D21" si="17">IRR(H7:H37,C17-C18)</f>
        <v>0.12094055595309294</v>
      </c>
      <c r="D21" s="46">
        <f t="shared" si="17"/>
        <v>7.8472577121356135E-2</v>
      </c>
      <c r="E21" s="22"/>
      <c r="F21" s="153">
        <v>14</v>
      </c>
      <c r="G21" s="154">
        <f t="shared" si="0"/>
        <v>0</v>
      </c>
      <c r="H21" s="154">
        <f t="shared" si="1"/>
        <v>0</v>
      </c>
      <c r="I21" s="155">
        <f t="shared" si="2"/>
        <v>0</v>
      </c>
      <c r="J21" s="149"/>
      <c r="K21" s="153">
        <v>14</v>
      </c>
      <c r="L21" s="156">
        <f t="shared" si="5"/>
        <v>0</v>
      </c>
      <c r="M21" s="151">
        <f t="shared" si="6"/>
        <v>0</v>
      </c>
      <c r="N21" s="156">
        <f t="shared" si="15"/>
        <v>0</v>
      </c>
      <c r="O21" s="151">
        <f t="shared" si="7"/>
        <v>0</v>
      </c>
      <c r="P21" s="154">
        <f t="shared" si="3"/>
        <v>0</v>
      </c>
      <c r="Q21" s="148">
        <f t="shared" si="8"/>
        <v>0</v>
      </c>
      <c r="R21" s="147"/>
      <c r="S21" s="153">
        <v>14</v>
      </c>
      <c r="T21" s="156">
        <f t="shared" si="9"/>
        <v>0</v>
      </c>
      <c r="U21" s="151">
        <f t="shared" si="10"/>
        <v>0</v>
      </c>
      <c r="V21" s="156">
        <f t="shared" si="11"/>
        <v>0</v>
      </c>
      <c r="W21" s="151">
        <f t="shared" si="12"/>
        <v>0</v>
      </c>
      <c r="X21" s="154">
        <f t="shared" si="13"/>
        <v>0</v>
      </c>
      <c r="Y21" s="148">
        <f t="shared" si="14"/>
        <v>0</v>
      </c>
    </row>
    <row r="22" spans="1:25" x14ac:dyDescent="0.25">
      <c r="A22" s="42" t="s">
        <v>17</v>
      </c>
      <c r="B22" s="47">
        <f>-PMT(B17-B18,B14,B20)</f>
        <v>4723.1073114328228</v>
      </c>
      <c r="C22" s="47">
        <f>-PMT(C17-C18,C14,C20)</f>
        <v>6199.4139504131826</v>
      </c>
      <c r="D22" s="47">
        <f>-PMT(D17-D18,D14,D20)</f>
        <v>2626.5198583838478</v>
      </c>
      <c r="E22" s="10"/>
      <c r="F22" s="153">
        <v>15</v>
      </c>
      <c r="G22" s="154">
        <f t="shared" si="0"/>
        <v>0</v>
      </c>
      <c r="H22" s="154">
        <f t="shared" si="1"/>
        <v>0</v>
      </c>
      <c r="I22" s="155">
        <f t="shared" si="2"/>
        <v>0</v>
      </c>
      <c r="J22" s="157"/>
      <c r="K22" s="153">
        <v>15</v>
      </c>
      <c r="L22" s="156">
        <f t="shared" si="5"/>
        <v>0</v>
      </c>
      <c r="M22" s="151">
        <f t="shared" si="6"/>
        <v>0</v>
      </c>
      <c r="N22" s="156">
        <f t="shared" si="15"/>
        <v>0</v>
      </c>
      <c r="O22" s="151">
        <f t="shared" si="7"/>
        <v>0</v>
      </c>
      <c r="P22" s="154">
        <f t="shared" si="3"/>
        <v>0</v>
      </c>
      <c r="Q22" s="148">
        <f t="shared" si="8"/>
        <v>0</v>
      </c>
      <c r="R22" s="147"/>
      <c r="S22" s="153">
        <v>15</v>
      </c>
      <c r="T22" s="156">
        <f t="shared" si="9"/>
        <v>0</v>
      </c>
      <c r="U22" s="151">
        <f t="shared" si="10"/>
        <v>0</v>
      </c>
      <c r="V22" s="156">
        <f t="shared" si="11"/>
        <v>0</v>
      </c>
      <c r="W22" s="151">
        <f t="shared" si="12"/>
        <v>0</v>
      </c>
      <c r="X22" s="154">
        <f t="shared" si="13"/>
        <v>0</v>
      </c>
      <c r="Y22" s="148">
        <f t="shared" si="14"/>
        <v>0</v>
      </c>
    </row>
    <row r="23" spans="1:25" x14ac:dyDescent="0.25">
      <c r="A23" s="43"/>
      <c r="B23" s="40"/>
      <c r="C23" s="40"/>
      <c r="D23" s="41"/>
      <c r="E23" s="22"/>
      <c r="F23" s="153">
        <v>16</v>
      </c>
      <c r="G23" s="154">
        <f t="shared" si="0"/>
        <v>0</v>
      </c>
      <c r="H23" s="154">
        <f t="shared" si="1"/>
        <v>0</v>
      </c>
      <c r="I23" s="155">
        <f t="shared" si="2"/>
        <v>0</v>
      </c>
      <c r="J23" s="149"/>
      <c r="K23" s="153">
        <v>16</v>
      </c>
      <c r="L23" s="156">
        <f t="shared" si="5"/>
        <v>0</v>
      </c>
      <c r="M23" s="151">
        <f t="shared" si="6"/>
        <v>0</v>
      </c>
      <c r="N23" s="156">
        <f t="shared" si="15"/>
        <v>0</v>
      </c>
      <c r="O23" s="151">
        <f t="shared" si="7"/>
        <v>0</v>
      </c>
      <c r="P23" s="154">
        <f t="shared" si="3"/>
        <v>0</v>
      </c>
      <c r="Q23" s="148">
        <f t="shared" si="8"/>
        <v>0</v>
      </c>
      <c r="R23" s="147"/>
      <c r="S23" s="153">
        <v>16</v>
      </c>
      <c r="T23" s="156">
        <f t="shared" si="9"/>
        <v>0</v>
      </c>
      <c r="U23" s="151">
        <f t="shared" si="10"/>
        <v>0</v>
      </c>
      <c r="V23" s="156">
        <f t="shared" si="11"/>
        <v>0</v>
      </c>
      <c r="W23" s="151">
        <f t="shared" si="12"/>
        <v>0</v>
      </c>
      <c r="X23" s="154">
        <f t="shared" si="13"/>
        <v>0</v>
      </c>
      <c r="Y23" s="148">
        <f t="shared" si="14"/>
        <v>0</v>
      </c>
    </row>
    <row r="24" spans="1:25" x14ac:dyDescent="0.25">
      <c r="A24" s="42" t="s">
        <v>20</v>
      </c>
      <c r="B24" s="20"/>
      <c r="C24" s="20"/>
      <c r="D24" s="21"/>
      <c r="E24" s="22"/>
      <c r="F24" s="153">
        <v>17</v>
      </c>
      <c r="G24" s="154">
        <f t="shared" si="0"/>
        <v>0</v>
      </c>
      <c r="H24" s="154">
        <f t="shared" si="1"/>
        <v>0</v>
      </c>
      <c r="I24" s="155">
        <f t="shared" si="2"/>
        <v>0</v>
      </c>
      <c r="J24" s="149"/>
      <c r="K24" s="153">
        <v>17</v>
      </c>
      <c r="L24" s="156">
        <f t="shared" si="5"/>
        <v>0</v>
      </c>
      <c r="M24" s="151">
        <f t="shared" si="6"/>
        <v>0</v>
      </c>
      <c r="N24" s="156">
        <f t="shared" si="15"/>
        <v>0</v>
      </c>
      <c r="O24" s="151">
        <f t="shared" si="7"/>
        <v>0</v>
      </c>
      <c r="P24" s="154">
        <f t="shared" si="3"/>
        <v>0</v>
      </c>
      <c r="Q24" s="148">
        <f t="shared" si="8"/>
        <v>0</v>
      </c>
      <c r="R24" s="147"/>
      <c r="S24" s="153">
        <v>17</v>
      </c>
      <c r="T24" s="156">
        <f t="shared" si="9"/>
        <v>0</v>
      </c>
      <c r="U24" s="151">
        <f t="shared" si="10"/>
        <v>0</v>
      </c>
      <c r="V24" s="156">
        <f t="shared" si="11"/>
        <v>0</v>
      </c>
      <c r="W24" s="151">
        <f t="shared" si="12"/>
        <v>0</v>
      </c>
      <c r="X24" s="154">
        <f t="shared" si="13"/>
        <v>0</v>
      </c>
      <c r="Y24" s="148">
        <f t="shared" si="14"/>
        <v>0</v>
      </c>
    </row>
    <row r="25" spans="1:25" x14ac:dyDescent="0.25">
      <c r="A25" s="43" t="s">
        <v>9</v>
      </c>
      <c r="B25" s="28">
        <f>+B20+B13</f>
        <v>234762.4809653188</v>
      </c>
      <c r="C25" s="28">
        <f>+C20+C13</f>
        <v>166114.18681645137</v>
      </c>
      <c r="D25" s="29">
        <f>+D20+D13</f>
        <v>222020.33259900787</v>
      </c>
      <c r="E25" s="22"/>
      <c r="F25" s="153">
        <v>18</v>
      </c>
      <c r="G25" s="154">
        <f t="shared" si="0"/>
        <v>0</v>
      </c>
      <c r="H25" s="154">
        <f t="shared" si="1"/>
        <v>0</v>
      </c>
      <c r="I25" s="155">
        <f t="shared" si="2"/>
        <v>0</v>
      </c>
      <c r="J25" s="149"/>
      <c r="K25" s="153">
        <v>18</v>
      </c>
      <c r="L25" s="156">
        <f t="shared" si="5"/>
        <v>0</v>
      </c>
      <c r="M25" s="151">
        <f t="shared" si="6"/>
        <v>0</v>
      </c>
      <c r="N25" s="156">
        <f t="shared" si="15"/>
        <v>0</v>
      </c>
      <c r="O25" s="151">
        <f t="shared" si="7"/>
        <v>0</v>
      </c>
      <c r="P25" s="154">
        <f t="shared" si="3"/>
        <v>0</v>
      </c>
      <c r="Q25" s="148">
        <f t="shared" si="8"/>
        <v>0</v>
      </c>
      <c r="R25" s="147"/>
      <c r="S25" s="153">
        <v>18</v>
      </c>
      <c r="T25" s="156">
        <f t="shared" si="9"/>
        <v>0</v>
      </c>
      <c r="U25" s="151">
        <f t="shared" si="10"/>
        <v>0</v>
      </c>
      <c r="V25" s="156">
        <f t="shared" si="11"/>
        <v>0</v>
      </c>
      <c r="W25" s="151">
        <f t="shared" si="12"/>
        <v>0</v>
      </c>
      <c r="X25" s="154">
        <f t="shared" si="13"/>
        <v>0</v>
      </c>
      <c r="Y25" s="148">
        <f t="shared" si="14"/>
        <v>0</v>
      </c>
    </row>
    <row r="26" spans="1:25" x14ac:dyDescent="0.25">
      <c r="A26" s="35" t="s">
        <v>0</v>
      </c>
      <c r="B26" s="28">
        <f>+B7+PMT(B17,B14,B20)</f>
        <v>45276.892688567175</v>
      </c>
      <c r="C26" s="28">
        <f>+C7+PMT(C17,C14,C20)</f>
        <v>43800.586049586818</v>
      </c>
      <c r="D26" s="29">
        <f>+D7+PMT(D17,D14,D20)</f>
        <v>47373.48014161615</v>
      </c>
      <c r="E26" s="22"/>
      <c r="F26" s="153">
        <v>19</v>
      </c>
      <c r="G26" s="154">
        <f t="shared" si="0"/>
        <v>0</v>
      </c>
      <c r="H26" s="154">
        <f t="shared" si="1"/>
        <v>0</v>
      </c>
      <c r="I26" s="155">
        <f t="shared" si="2"/>
        <v>0</v>
      </c>
      <c r="J26" s="149"/>
      <c r="K26" s="153">
        <v>19</v>
      </c>
      <c r="L26" s="156">
        <f t="shared" si="5"/>
        <v>0</v>
      </c>
      <c r="M26" s="151">
        <f t="shared" si="6"/>
        <v>0</v>
      </c>
      <c r="N26" s="156">
        <f t="shared" si="15"/>
        <v>0</v>
      </c>
      <c r="O26" s="151">
        <f t="shared" si="7"/>
        <v>0</v>
      </c>
      <c r="P26" s="154">
        <f t="shared" si="3"/>
        <v>0</v>
      </c>
      <c r="Q26" s="148">
        <f t="shared" si="8"/>
        <v>0</v>
      </c>
      <c r="R26" s="147"/>
      <c r="S26" s="153">
        <v>19</v>
      </c>
      <c r="T26" s="156">
        <f t="shared" si="9"/>
        <v>0</v>
      </c>
      <c r="U26" s="151">
        <f t="shared" si="10"/>
        <v>0</v>
      </c>
      <c r="V26" s="156">
        <f t="shared" si="11"/>
        <v>0</v>
      </c>
      <c r="W26" s="151">
        <f t="shared" si="12"/>
        <v>0</v>
      </c>
      <c r="X26" s="154">
        <f t="shared" si="13"/>
        <v>0</v>
      </c>
      <c r="Y26" s="148">
        <f t="shared" si="14"/>
        <v>0</v>
      </c>
    </row>
    <row r="27" spans="1:25" x14ac:dyDescent="0.25">
      <c r="A27" s="35" t="s">
        <v>87</v>
      </c>
      <c r="B27" s="48" cm="1">
        <f t="array" ref="B27">MATCH(TRUE,INDEX(M8:M37&gt;0,0),0)</f>
        <v>9</v>
      </c>
      <c r="C27" s="49" cm="1">
        <f t="array" ref="C27">MATCH(TRUE,INDEX(O8:O37&gt;0,0),0)</f>
        <v>5</v>
      </c>
      <c r="D27" s="50" cm="1">
        <f t="array" ref="D27">MATCH(TRUE,INDEX(Q8:Q37&gt;0,0),0)</f>
        <v>12</v>
      </c>
      <c r="E27" s="22"/>
      <c r="F27" s="153">
        <v>20</v>
      </c>
      <c r="G27" s="154">
        <f t="shared" si="0"/>
        <v>0</v>
      </c>
      <c r="H27" s="154">
        <f t="shared" si="1"/>
        <v>0</v>
      </c>
      <c r="I27" s="155">
        <f t="shared" si="2"/>
        <v>0</v>
      </c>
      <c r="J27" s="149"/>
      <c r="K27" s="153">
        <v>20</v>
      </c>
      <c r="L27" s="156">
        <f t="shared" si="5"/>
        <v>0</v>
      </c>
      <c r="M27" s="151">
        <f t="shared" si="6"/>
        <v>0</v>
      </c>
      <c r="N27" s="156">
        <f t="shared" si="15"/>
        <v>0</v>
      </c>
      <c r="O27" s="151">
        <f t="shared" si="7"/>
        <v>0</v>
      </c>
      <c r="P27" s="154">
        <f t="shared" si="3"/>
        <v>0</v>
      </c>
      <c r="Q27" s="148">
        <f t="shared" si="8"/>
        <v>0</v>
      </c>
      <c r="R27" s="147"/>
      <c r="S27" s="153">
        <v>20</v>
      </c>
      <c r="T27" s="156">
        <f t="shared" si="9"/>
        <v>0</v>
      </c>
      <c r="U27" s="151">
        <f t="shared" si="10"/>
        <v>0</v>
      </c>
      <c r="V27" s="156">
        <f t="shared" si="11"/>
        <v>0</v>
      </c>
      <c r="W27" s="151">
        <f t="shared" si="12"/>
        <v>0</v>
      </c>
      <c r="X27" s="154">
        <f t="shared" si="13"/>
        <v>0</v>
      </c>
      <c r="Y27" s="148">
        <f t="shared" si="14"/>
        <v>0</v>
      </c>
    </row>
    <row r="28" spans="1:25" x14ac:dyDescent="0.25">
      <c r="A28" s="43" t="s">
        <v>10</v>
      </c>
      <c r="B28" s="51">
        <f>-PV(0,B14,,B15-LOOKUP(B14,K7:K37,M7:M37))</f>
        <v>-37254.308962856063</v>
      </c>
      <c r="C28" s="51">
        <f>-PV(0,C14,,C15-LOOKUP(C14,K7:K37,O7:O37))</f>
        <v>-9946.6727360000004</v>
      </c>
      <c r="D28" s="51">
        <f>-PV(0,D14,,D15-LOOKUP(D14,K7:K37,Q7:Q37))</f>
        <v>-19309.235564369257</v>
      </c>
      <c r="E28" s="22"/>
      <c r="F28" s="153">
        <v>21</v>
      </c>
      <c r="G28" s="154">
        <f t="shared" si="0"/>
        <v>0</v>
      </c>
      <c r="H28" s="154">
        <f t="shared" si="1"/>
        <v>0</v>
      </c>
      <c r="I28" s="155">
        <f t="shared" si="2"/>
        <v>0</v>
      </c>
      <c r="J28" s="149"/>
      <c r="K28" s="153">
        <v>21</v>
      </c>
      <c r="L28" s="156">
        <f t="shared" si="5"/>
        <v>0</v>
      </c>
      <c r="M28" s="151">
        <f t="shared" si="6"/>
        <v>0</v>
      </c>
      <c r="N28" s="156">
        <f t="shared" si="15"/>
        <v>0</v>
      </c>
      <c r="O28" s="151">
        <f t="shared" si="7"/>
        <v>0</v>
      </c>
      <c r="P28" s="154">
        <f t="shared" si="3"/>
        <v>0</v>
      </c>
      <c r="Q28" s="148">
        <f t="shared" si="8"/>
        <v>0</v>
      </c>
      <c r="R28" s="147"/>
      <c r="S28" s="153">
        <v>21</v>
      </c>
      <c r="T28" s="156">
        <f t="shared" si="9"/>
        <v>0</v>
      </c>
      <c r="U28" s="151">
        <f t="shared" si="10"/>
        <v>0</v>
      </c>
      <c r="V28" s="156">
        <f t="shared" si="11"/>
        <v>0</v>
      </c>
      <c r="W28" s="151">
        <f t="shared" si="12"/>
        <v>0</v>
      </c>
      <c r="X28" s="154">
        <f t="shared" si="13"/>
        <v>0</v>
      </c>
      <c r="Y28" s="148">
        <f t="shared" si="14"/>
        <v>0</v>
      </c>
    </row>
    <row r="29" spans="1:25" x14ac:dyDescent="0.25">
      <c r="A29" s="43" t="s">
        <v>12</v>
      </c>
      <c r="B29" s="52">
        <f>+B21</f>
        <v>9.3311111094043664E-2</v>
      </c>
      <c r="C29" s="52">
        <f>+C21</f>
        <v>0.12094055595309294</v>
      </c>
      <c r="D29" s="53">
        <f>+D21</f>
        <v>7.8472577121356135E-2</v>
      </c>
      <c r="E29" s="22"/>
      <c r="F29" s="153">
        <v>22</v>
      </c>
      <c r="G29" s="154">
        <f t="shared" si="0"/>
        <v>0</v>
      </c>
      <c r="H29" s="154">
        <f t="shared" si="1"/>
        <v>0</v>
      </c>
      <c r="I29" s="155">
        <f t="shared" si="2"/>
        <v>0</v>
      </c>
      <c r="J29" s="149"/>
      <c r="K29" s="153">
        <v>22</v>
      </c>
      <c r="L29" s="156">
        <f t="shared" si="5"/>
        <v>0</v>
      </c>
      <c r="M29" s="151">
        <f t="shared" si="6"/>
        <v>0</v>
      </c>
      <c r="N29" s="156">
        <f t="shared" si="15"/>
        <v>0</v>
      </c>
      <c r="O29" s="151">
        <f t="shared" si="7"/>
        <v>0</v>
      </c>
      <c r="P29" s="154">
        <f t="shared" si="3"/>
        <v>0</v>
      </c>
      <c r="Q29" s="148">
        <f t="shared" si="8"/>
        <v>0</v>
      </c>
      <c r="R29" s="147"/>
      <c r="S29" s="153">
        <v>22</v>
      </c>
      <c r="T29" s="156">
        <f t="shared" si="9"/>
        <v>0</v>
      </c>
      <c r="U29" s="151">
        <f t="shared" si="10"/>
        <v>0</v>
      </c>
      <c r="V29" s="156">
        <f t="shared" si="11"/>
        <v>0</v>
      </c>
      <c r="W29" s="151">
        <f t="shared" si="12"/>
        <v>0</v>
      </c>
      <c r="X29" s="154">
        <f t="shared" si="13"/>
        <v>0</v>
      </c>
      <c r="Y29" s="148">
        <f t="shared" si="14"/>
        <v>0</v>
      </c>
    </row>
    <row r="30" spans="1:25" x14ac:dyDescent="0.25">
      <c r="A30" s="43"/>
      <c r="B30" s="20"/>
      <c r="C30" s="20"/>
      <c r="D30" s="21"/>
      <c r="E30" s="22"/>
      <c r="F30" s="153">
        <v>23</v>
      </c>
      <c r="G30" s="154">
        <f t="shared" si="0"/>
        <v>0</v>
      </c>
      <c r="H30" s="154">
        <f t="shared" si="1"/>
        <v>0</v>
      </c>
      <c r="I30" s="155">
        <f t="shared" si="2"/>
        <v>0</v>
      </c>
      <c r="J30" s="149"/>
      <c r="K30" s="153">
        <v>23</v>
      </c>
      <c r="L30" s="156">
        <f t="shared" si="5"/>
        <v>0</v>
      </c>
      <c r="M30" s="151">
        <f t="shared" si="6"/>
        <v>0</v>
      </c>
      <c r="N30" s="156">
        <f t="shared" si="15"/>
        <v>0</v>
      </c>
      <c r="O30" s="151">
        <f t="shared" si="7"/>
        <v>0</v>
      </c>
      <c r="P30" s="154">
        <f t="shared" si="3"/>
        <v>0</v>
      </c>
      <c r="Q30" s="148">
        <f t="shared" si="8"/>
        <v>0</v>
      </c>
      <c r="R30" s="147"/>
      <c r="S30" s="153">
        <v>23</v>
      </c>
      <c r="T30" s="156">
        <f t="shared" si="9"/>
        <v>0</v>
      </c>
      <c r="U30" s="151">
        <f t="shared" si="10"/>
        <v>0</v>
      </c>
      <c r="V30" s="156">
        <f t="shared" si="11"/>
        <v>0</v>
      </c>
      <c r="W30" s="151">
        <f t="shared" si="12"/>
        <v>0</v>
      </c>
      <c r="X30" s="154">
        <f t="shared" si="13"/>
        <v>0</v>
      </c>
      <c r="Y30" s="148">
        <f t="shared" si="14"/>
        <v>0</v>
      </c>
    </row>
    <row r="31" spans="1:25" x14ac:dyDescent="0.25">
      <c r="A31" s="18" t="s">
        <v>19</v>
      </c>
      <c r="B31" s="128">
        <v>0</v>
      </c>
      <c r="C31" s="128">
        <v>0</v>
      </c>
      <c r="D31" s="129">
        <v>0</v>
      </c>
      <c r="E31" s="22"/>
      <c r="F31" s="153">
        <v>24</v>
      </c>
      <c r="G31" s="154">
        <f t="shared" si="0"/>
        <v>0</v>
      </c>
      <c r="H31" s="154">
        <f t="shared" si="1"/>
        <v>0</v>
      </c>
      <c r="I31" s="155">
        <f t="shared" si="2"/>
        <v>0</v>
      </c>
      <c r="J31" s="149"/>
      <c r="K31" s="153">
        <v>24</v>
      </c>
      <c r="L31" s="156">
        <f t="shared" si="5"/>
        <v>0</v>
      </c>
      <c r="M31" s="151">
        <f t="shared" si="6"/>
        <v>0</v>
      </c>
      <c r="N31" s="156">
        <f t="shared" si="15"/>
        <v>0</v>
      </c>
      <c r="O31" s="151">
        <f t="shared" si="7"/>
        <v>0</v>
      </c>
      <c r="P31" s="154">
        <f t="shared" si="3"/>
        <v>0</v>
      </c>
      <c r="Q31" s="148">
        <f t="shared" si="8"/>
        <v>0</v>
      </c>
      <c r="R31" s="147"/>
      <c r="S31" s="153">
        <v>24</v>
      </c>
      <c r="T31" s="156">
        <f t="shared" si="9"/>
        <v>0</v>
      </c>
      <c r="U31" s="151">
        <f t="shared" si="10"/>
        <v>0</v>
      </c>
      <c r="V31" s="156">
        <f t="shared" si="11"/>
        <v>0</v>
      </c>
      <c r="W31" s="151">
        <f t="shared" si="12"/>
        <v>0</v>
      </c>
      <c r="X31" s="154">
        <f t="shared" si="13"/>
        <v>0</v>
      </c>
      <c r="Y31" s="148">
        <f t="shared" si="14"/>
        <v>0</v>
      </c>
    </row>
    <row r="32" spans="1:25" ht="15.75" thickBot="1" x14ac:dyDescent="0.3">
      <c r="A32" s="54" t="s">
        <v>21</v>
      </c>
      <c r="B32" s="130">
        <v>0</v>
      </c>
      <c r="C32" s="130">
        <v>0</v>
      </c>
      <c r="D32" s="131">
        <v>0</v>
      </c>
      <c r="E32" s="22"/>
      <c r="F32" s="153">
        <v>25</v>
      </c>
      <c r="G32" s="154">
        <f t="shared" si="0"/>
        <v>0</v>
      </c>
      <c r="H32" s="154">
        <f t="shared" si="1"/>
        <v>0</v>
      </c>
      <c r="I32" s="155">
        <f t="shared" si="2"/>
        <v>0</v>
      </c>
      <c r="J32" s="149"/>
      <c r="K32" s="153">
        <v>25</v>
      </c>
      <c r="L32" s="156">
        <f t="shared" si="5"/>
        <v>0</v>
      </c>
      <c r="M32" s="151">
        <f t="shared" si="6"/>
        <v>0</v>
      </c>
      <c r="N32" s="156">
        <f t="shared" si="15"/>
        <v>0</v>
      </c>
      <c r="O32" s="151">
        <f t="shared" si="7"/>
        <v>0</v>
      </c>
      <c r="P32" s="154">
        <f t="shared" si="3"/>
        <v>0</v>
      </c>
      <c r="Q32" s="148">
        <f t="shared" si="8"/>
        <v>0</v>
      </c>
      <c r="R32" s="147"/>
      <c r="S32" s="153">
        <v>25</v>
      </c>
      <c r="T32" s="156">
        <f t="shared" si="9"/>
        <v>0</v>
      </c>
      <c r="U32" s="151">
        <f t="shared" si="10"/>
        <v>0</v>
      </c>
      <c r="V32" s="156">
        <f t="shared" si="11"/>
        <v>0</v>
      </c>
      <c r="W32" s="151">
        <f t="shared" si="12"/>
        <v>0</v>
      </c>
      <c r="X32" s="154">
        <f t="shared" si="13"/>
        <v>0</v>
      </c>
      <c r="Y32" s="148">
        <f t="shared" si="14"/>
        <v>0</v>
      </c>
    </row>
    <row r="33" spans="1:25" x14ac:dyDescent="0.25">
      <c r="F33" s="153">
        <v>26</v>
      </c>
      <c r="G33" s="154">
        <f t="shared" si="0"/>
        <v>0</v>
      </c>
      <c r="H33" s="154">
        <f t="shared" si="1"/>
        <v>0</v>
      </c>
      <c r="I33" s="155">
        <f t="shared" si="2"/>
        <v>0</v>
      </c>
      <c r="J33" s="149"/>
      <c r="K33" s="153">
        <v>26</v>
      </c>
      <c r="L33" s="156">
        <f t="shared" si="5"/>
        <v>0</v>
      </c>
      <c r="M33" s="151">
        <f t="shared" si="6"/>
        <v>0</v>
      </c>
      <c r="N33" s="156">
        <f t="shared" si="15"/>
        <v>0</v>
      </c>
      <c r="O33" s="151">
        <f t="shared" si="7"/>
        <v>0</v>
      </c>
      <c r="P33" s="154">
        <f t="shared" si="3"/>
        <v>0</v>
      </c>
      <c r="Q33" s="148">
        <f t="shared" si="8"/>
        <v>0</v>
      </c>
      <c r="R33" s="147"/>
      <c r="S33" s="153">
        <v>26</v>
      </c>
      <c r="T33" s="156">
        <f t="shared" si="9"/>
        <v>0</v>
      </c>
      <c r="U33" s="151">
        <f t="shared" si="10"/>
        <v>0</v>
      </c>
      <c r="V33" s="156">
        <f t="shared" si="11"/>
        <v>0</v>
      </c>
      <c r="W33" s="151">
        <f t="shared" si="12"/>
        <v>0</v>
      </c>
      <c r="X33" s="154">
        <f t="shared" si="13"/>
        <v>0</v>
      </c>
      <c r="Y33" s="148">
        <f t="shared" si="14"/>
        <v>0</v>
      </c>
    </row>
    <row r="34" spans="1:25" x14ac:dyDescent="0.25">
      <c r="B34" s="55"/>
      <c r="D34" s="55"/>
      <c r="F34" s="153">
        <v>27</v>
      </c>
      <c r="G34" s="154">
        <f t="shared" si="0"/>
        <v>0</v>
      </c>
      <c r="H34" s="154">
        <f t="shared" si="1"/>
        <v>0</v>
      </c>
      <c r="I34" s="155">
        <f t="shared" si="2"/>
        <v>0</v>
      </c>
      <c r="J34" s="149"/>
      <c r="K34" s="153">
        <v>27</v>
      </c>
      <c r="L34" s="156">
        <f t="shared" si="5"/>
        <v>0</v>
      </c>
      <c r="M34" s="151">
        <f t="shared" si="6"/>
        <v>0</v>
      </c>
      <c r="N34" s="156">
        <f t="shared" si="15"/>
        <v>0</v>
      </c>
      <c r="O34" s="151">
        <f t="shared" si="7"/>
        <v>0</v>
      </c>
      <c r="P34" s="154">
        <f t="shared" si="3"/>
        <v>0</v>
      </c>
      <c r="Q34" s="148">
        <f t="shared" si="8"/>
        <v>0</v>
      </c>
      <c r="R34" s="147"/>
      <c r="S34" s="153">
        <v>27</v>
      </c>
      <c r="T34" s="156">
        <f t="shared" si="9"/>
        <v>0</v>
      </c>
      <c r="U34" s="151">
        <f t="shared" si="10"/>
        <v>0</v>
      </c>
      <c r="V34" s="156">
        <f t="shared" si="11"/>
        <v>0</v>
      </c>
      <c r="W34" s="151">
        <f t="shared" si="12"/>
        <v>0</v>
      </c>
      <c r="X34" s="154">
        <f t="shared" si="13"/>
        <v>0</v>
      </c>
      <c r="Y34" s="148">
        <f t="shared" si="14"/>
        <v>0</v>
      </c>
    </row>
    <row r="35" spans="1:25" x14ac:dyDescent="0.25">
      <c r="B35" s="56"/>
      <c r="C35" s="56"/>
      <c r="D35" s="57"/>
      <c r="F35" s="153">
        <v>28</v>
      </c>
      <c r="G35" s="154">
        <f t="shared" si="0"/>
        <v>0</v>
      </c>
      <c r="H35" s="154">
        <f t="shared" si="1"/>
        <v>0</v>
      </c>
      <c r="I35" s="155">
        <f t="shared" si="2"/>
        <v>0</v>
      </c>
      <c r="J35" s="149"/>
      <c r="K35" s="153">
        <v>28</v>
      </c>
      <c r="L35" s="156">
        <f t="shared" si="5"/>
        <v>0</v>
      </c>
      <c r="M35" s="151">
        <f t="shared" si="6"/>
        <v>0</v>
      </c>
      <c r="N35" s="156">
        <f t="shared" si="15"/>
        <v>0</v>
      </c>
      <c r="O35" s="151">
        <f t="shared" si="7"/>
        <v>0</v>
      </c>
      <c r="P35" s="154">
        <f t="shared" si="3"/>
        <v>0</v>
      </c>
      <c r="Q35" s="148">
        <f t="shared" si="8"/>
        <v>0</v>
      </c>
      <c r="R35" s="147"/>
      <c r="S35" s="153">
        <v>28</v>
      </c>
      <c r="T35" s="156">
        <f t="shared" si="9"/>
        <v>0</v>
      </c>
      <c r="U35" s="151">
        <f t="shared" si="10"/>
        <v>0</v>
      </c>
      <c r="V35" s="156">
        <f t="shared" si="11"/>
        <v>0</v>
      </c>
      <c r="W35" s="151">
        <f t="shared" si="12"/>
        <v>0</v>
      </c>
      <c r="X35" s="154">
        <f t="shared" si="13"/>
        <v>0</v>
      </c>
      <c r="Y35" s="148">
        <f t="shared" si="14"/>
        <v>0</v>
      </c>
    </row>
    <row r="36" spans="1:25" x14ac:dyDescent="0.25">
      <c r="B36" s="58"/>
      <c r="C36" s="58"/>
      <c r="D36" s="58"/>
      <c r="F36" s="153">
        <v>29</v>
      </c>
      <c r="G36" s="154">
        <f t="shared" si="0"/>
        <v>0</v>
      </c>
      <c r="H36" s="154">
        <f t="shared" si="1"/>
        <v>0</v>
      </c>
      <c r="I36" s="155">
        <f t="shared" si="2"/>
        <v>0</v>
      </c>
      <c r="J36" s="149"/>
      <c r="K36" s="153">
        <v>29</v>
      </c>
      <c r="L36" s="156">
        <f t="shared" si="5"/>
        <v>0</v>
      </c>
      <c r="M36" s="151">
        <f t="shared" si="6"/>
        <v>0</v>
      </c>
      <c r="N36" s="156">
        <f t="shared" si="15"/>
        <v>0</v>
      </c>
      <c r="O36" s="151">
        <f t="shared" si="7"/>
        <v>0</v>
      </c>
      <c r="P36" s="154">
        <f t="shared" si="3"/>
        <v>0</v>
      </c>
      <c r="Q36" s="148">
        <f t="shared" si="8"/>
        <v>0</v>
      </c>
      <c r="R36" s="147"/>
      <c r="S36" s="153">
        <v>29</v>
      </c>
      <c r="T36" s="156">
        <f t="shared" si="9"/>
        <v>0</v>
      </c>
      <c r="U36" s="151">
        <f t="shared" si="10"/>
        <v>0</v>
      </c>
      <c r="V36" s="156">
        <f t="shared" si="11"/>
        <v>0</v>
      </c>
      <c r="W36" s="151">
        <f t="shared" si="12"/>
        <v>0</v>
      </c>
      <c r="X36" s="154">
        <f t="shared" si="13"/>
        <v>0</v>
      </c>
      <c r="Y36" s="148">
        <f t="shared" si="14"/>
        <v>0</v>
      </c>
    </row>
    <row r="37" spans="1:25" ht="15.75" thickBot="1" x14ac:dyDescent="0.3">
      <c r="F37" s="158">
        <v>30</v>
      </c>
      <c r="G37" s="159">
        <f t="shared" si="0"/>
        <v>0</v>
      </c>
      <c r="H37" s="159">
        <f t="shared" si="1"/>
        <v>0</v>
      </c>
      <c r="I37" s="160">
        <f t="shared" si="2"/>
        <v>0</v>
      </c>
      <c r="J37" s="149"/>
      <c r="K37" s="158">
        <v>30</v>
      </c>
      <c r="L37" s="161">
        <f t="shared" si="5"/>
        <v>0</v>
      </c>
      <c r="M37" s="162">
        <f t="shared" si="6"/>
        <v>0</v>
      </c>
      <c r="N37" s="161">
        <f t="shared" si="15"/>
        <v>0</v>
      </c>
      <c r="O37" s="162">
        <f t="shared" si="7"/>
        <v>0</v>
      </c>
      <c r="P37" s="159">
        <f t="shared" si="3"/>
        <v>0</v>
      </c>
      <c r="Q37" s="163">
        <f t="shared" si="8"/>
        <v>0</v>
      </c>
      <c r="R37" s="147"/>
      <c r="S37" s="158">
        <v>30</v>
      </c>
      <c r="T37" s="161">
        <f t="shared" si="9"/>
        <v>0</v>
      </c>
      <c r="U37" s="162">
        <f t="shared" si="10"/>
        <v>0</v>
      </c>
      <c r="V37" s="161">
        <f t="shared" si="11"/>
        <v>0</v>
      </c>
      <c r="W37" s="162">
        <f t="shared" si="12"/>
        <v>0</v>
      </c>
      <c r="X37" s="159">
        <f t="shared" si="13"/>
        <v>0</v>
      </c>
      <c r="Y37" s="163">
        <f t="shared" si="14"/>
        <v>0</v>
      </c>
    </row>
    <row r="38" spans="1:25" x14ac:dyDescent="0.25">
      <c r="M38" s="62"/>
      <c r="O38" s="28"/>
      <c r="Q38" s="28"/>
      <c r="R38" s="28"/>
      <c r="S38" s="28"/>
      <c r="T38" s="28"/>
      <c r="U38" s="28"/>
      <c r="V38" s="28"/>
      <c r="W38" s="28"/>
      <c r="X38" s="28"/>
      <c r="Y38" s="28"/>
    </row>
    <row r="39" spans="1:25" ht="15.75" thickBot="1" x14ac:dyDescent="0.3"/>
    <row r="40" spans="1:25" ht="15.75" thickBot="1" x14ac:dyDescent="0.3">
      <c r="F40" s="63" t="s">
        <v>59</v>
      </c>
      <c r="G40" s="64"/>
      <c r="H40" s="64"/>
      <c r="I40" s="65"/>
      <c r="J40" s="66"/>
      <c r="K40" s="172" t="s">
        <v>14</v>
      </c>
      <c r="L40" s="174" t="s">
        <v>5</v>
      </c>
      <c r="M40" s="175"/>
      <c r="N40" s="174" t="s">
        <v>6</v>
      </c>
      <c r="O40" s="175"/>
      <c r="P40" s="174" t="s">
        <v>7</v>
      </c>
      <c r="Q40" s="176"/>
      <c r="R40" s="16"/>
      <c r="S40" s="16"/>
      <c r="T40" s="16"/>
      <c r="U40" s="16"/>
      <c r="V40" s="16"/>
      <c r="W40" s="16"/>
      <c r="X40" s="16"/>
      <c r="Y40" s="16"/>
    </row>
    <row r="41" spans="1:25" ht="15.75" thickBot="1" x14ac:dyDescent="0.3">
      <c r="A41" s="67"/>
      <c r="B41" s="68" t="s">
        <v>5</v>
      </c>
      <c r="C41" s="69" t="s">
        <v>6</v>
      </c>
      <c r="D41" s="70" t="s">
        <v>7</v>
      </c>
      <c r="F41" s="23" t="s">
        <v>3</v>
      </c>
      <c r="G41" s="24" t="s">
        <v>5</v>
      </c>
      <c r="H41" s="24" t="s">
        <v>6</v>
      </c>
      <c r="I41" s="25" t="s">
        <v>7</v>
      </c>
      <c r="J41" s="20"/>
      <c r="K41" s="166" t="s">
        <v>3</v>
      </c>
      <c r="L41" s="167" t="s">
        <v>22</v>
      </c>
      <c r="M41" s="168" t="s">
        <v>14</v>
      </c>
      <c r="N41" s="167" t="s">
        <v>22</v>
      </c>
      <c r="O41" s="168" t="s">
        <v>14</v>
      </c>
      <c r="P41" s="167" t="s">
        <v>22</v>
      </c>
      <c r="Q41" s="169" t="s">
        <v>14</v>
      </c>
      <c r="R41" s="26"/>
      <c r="S41" s="26"/>
      <c r="T41" s="26"/>
      <c r="U41" s="26"/>
      <c r="V41" s="26"/>
      <c r="W41" s="26"/>
      <c r="X41" s="26"/>
      <c r="Y41" s="26"/>
    </row>
    <row r="42" spans="1:25" x14ac:dyDescent="0.25">
      <c r="A42" s="71" t="s">
        <v>66</v>
      </c>
      <c r="B42" s="72"/>
      <c r="C42" s="73"/>
      <c r="D42" s="74"/>
      <c r="F42" s="27">
        <v>0</v>
      </c>
      <c r="G42" s="28">
        <f>-B13</f>
        <v>-200000</v>
      </c>
      <c r="H42" s="28">
        <f t="shared" ref="H42:I42" si="18">-C13</f>
        <v>-140000</v>
      </c>
      <c r="I42" s="29">
        <f t="shared" si="18"/>
        <v>-200000</v>
      </c>
      <c r="J42" s="20"/>
      <c r="K42" s="146">
        <v>0</v>
      </c>
      <c r="L42" s="150"/>
      <c r="M42" s="151">
        <f>+G7</f>
        <v>-200000</v>
      </c>
      <c r="N42" s="150"/>
      <c r="O42" s="151">
        <f>+H42</f>
        <v>-140000</v>
      </c>
      <c r="P42" s="152"/>
      <c r="Q42" s="148">
        <f>+I42</f>
        <v>-200000</v>
      </c>
      <c r="R42" s="28"/>
      <c r="S42" s="28"/>
      <c r="T42" s="28"/>
      <c r="U42" s="28"/>
      <c r="V42" s="28"/>
      <c r="W42" s="28"/>
      <c r="X42" s="28"/>
      <c r="Y42" s="28"/>
    </row>
    <row r="43" spans="1:25" x14ac:dyDescent="0.25">
      <c r="A43" s="18" t="s">
        <v>13</v>
      </c>
      <c r="B43" s="132">
        <v>0.22</v>
      </c>
      <c r="C43" s="128">
        <v>0.22</v>
      </c>
      <c r="D43" s="129">
        <v>0.22</v>
      </c>
      <c r="F43" s="31">
        <v>1</v>
      </c>
      <c r="G43" s="32">
        <f t="shared" ref="G43:G72" si="19">(1-$B$43)*IF(F43&lt;=$B$14,$B$7*(1+$B$31)^F43-($B$10*(1+$B$32)^F43),0)+IF(F43=$B$14,$B$15,0)+(L78*$B$43)+IF(F43=$B$14,IF($B$44=$D$76,0,M78*$B$43))</f>
        <v>27250</v>
      </c>
      <c r="H43" s="32">
        <f t="shared" ref="H43:H72" si="20">(1-$C$43)*IF(F43&lt;=$C$14,$C$7*(1+$C$31)^F43-($C$10*(1+$C$32)^F43),0)+IF(F43=$C$14,$C$15,0)+(N78*$C$43)+IF(F43=$C$14,IF($C$44=$D$76,0,O78*$C$43))</f>
        <v>32359.999999999996</v>
      </c>
      <c r="I43" s="33">
        <f t="shared" ref="I43:I72" si="21">(1-$D$43)*IF(F43&lt;=$D$14,$D$7*(1+$D$31)^F43-($D$10*(1+$D$32)^F43),0)+IF(F43=$D$14,$D$15,0)+(P78*$D$43)+IF(F43=$D$14,IF($D$44=$D$76,0,Q78*$D$43))</f>
        <v>22708.333333333332</v>
      </c>
      <c r="J43" s="20"/>
      <c r="K43" s="153">
        <v>1</v>
      </c>
      <c r="L43" s="156">
        <f>IF(K43&lt;=$B$14,+M42*(1-$B$18)*$B$17,0)</f>
        <v>-12000</v>
      </c>
      <c r="M43" s="151">
        <f>IF(K43&lt;=$B$14,+G43+L43+M42,0)</f>
        <v>-184750</v>
      </c>
      <c r="N43" s="156">
        <f>IF(K43&lt;=$C$14,+O42*$C$17,0)*(1-$C$18)</f>
        <v>-8400</v>
      </c>
      <c r="O43" s="151">
        <f>IF(K43&lt;=$C$14,+H43+N43+O42,0)</f>
        <v>-116040</v>
      </c>
      <c r="P43" s="154">
        <f>IF(K43&lt;=$D$14,+Q42*$D$17,0)*(1-$D$18)</f>
        <v>-12000</v>
      </c>
      <c r="Q43" s="148">
        <f>IF(K43&lt;=$D$14,+I43+P43+Q42,0)</f>
        <v>-189291.66666666666</v>
      </c>
      <c r="R43" s="28"/>
      <c r="S43" s="28"/>
      <c r="T43" s="28"/>
      <c r="U43" s="28"/>
      <c r="V43" s="28"/>
      <c r="W43" s="28"/>
      <c r="X43" s="28"/>
      <c r="Y43" s="28"/>
    </row>
    <row r="44" spans="1:25" x14ac:dyDescent="0.25">
      <c r="A44" s="18" t="s">
        <v>71</v>
      </c>
      <c r="B44" s="133" t="s">
        <v>23</v>
      </c>
      <c r="C44" s="134" t="s">
        <v>23</v>
      </c>
      <c r="D44" s="135" t="s">
        <v>23</v>
      </c>
      <c r="F44" s="31">
        <v>2</v>
      </c>
      <c r="G44" s="32">
        <f t="shared" si="19"/>
        <v>27250</v>
      </c>
      <c r="H44" s="32">
        <f t="shared" si="20"/>
        <v>32359.999999999996</v>
      </c>
      <c r="I44" s="33">
        <f t="shared" si="21"/>
        <v>22708.333333333332</v>
      </c>
      <c r="J44" s="20"/>
      <c r="K44" s="153">
        <v>2</v>
      </c>
      <c r="L44" s="156">
        <f t="shared" ref="L44:L72" si="22">IF(K44&lt;=$B$14,+M43*(1-$B$18)*$B$17,0)</f>
        <v>-11085</v>
      </c>
      <c r="M44" s="151">
        <f t="shared" ref="M44:M72" si="23">IF(K44&lt;=$B$14,+G44+L44+M43,0)</f>
        <v>-168585</v>
      </c>
      <c r="N44" s="156">
        <f t="shared" ref="N44:N72" si="24">IF(K44&lt;=$C$14,+O43*$C$17,0)*(1-$C$18)</f>
        <v>-6962.4</v>
      </c>
      <c r="O44" s="151">
        <f t="shared" ref="O44:O72" si="25">IF(K44&lt;=$C$14,+H44+N44+O43,0)</f>
        <v>-90642.4</v>
      </c>
      <c r="P44" s="154">
        <f t="shared" ref="P44:P72" si="26">IF(K44&lt;=$D$14,+Q43*$D$17,0)*(1-$D$18)</f>
        <v>-11357.499999999998</v>
      </c>
      <c r="Q44" s="148">
        <f t="shared" ref="Q44:Q72" si="27">IF(K44&lt;=$D$14,+I44+P44+Q43,0)</f>
        <v>-177940.83333333331</v>
      </c>
      <c r="R44" s="28"/>
      <c r="S44" s="28"/>
      <c r="T44" s="28"/>
      <c r="U44" s="28"/>
      <c r="V44" s="28"/>
      <c r="W44" s="28"/>
      <c r="X44" s="28"/>
      <c r="Y44" s="28"/>
    </row>
    <row r="45" spans="1:25" x14ac:dyDescent="0.25">
      <c r="A45" s="18" t="s">
        <v>27</v>
      </c>
      <c r="B45" s="132">
        <v>8.7499999999999994E-2</v>
      </c>
      <c r="C45" s="128">
        <v>0.16428571428571412</v>
      </c>
      <c r="D45" s="129">
        <v>7.2916666666666657E-2</v>
      </c>
      <c r="F45" s="31">
        <v>3</v>
      </c>
      <c r="G45" s="32">
        <f t="shared" si="19"/>
        <v>27250</v>
      </c>
      <c r="H45" s="32">
        <f t="shared" si="20"/>
        <v>32359.999999999996</v>
      </c>
      <c r="I45" s="33">
        <f t="shared" si="21"/>
        <v>22708.333333333332</v>
      </c>
      <c r="J45" s="20"/>
      <c r="K45" s="153">
        <v>3</v>
      </c>
      <c r="L45" s="156">
        <f t="shared" si="22"/>
        <v>-10115.1</v>
      </c>
      <c r="M45" s="151">
        <f t="shared" si="23"/>
        <v>-151450.1</v>
      </c>
      <c r="N45" s="156">
        <f t="shared" si="24"/>
        <v>-5438.5439999999999</v>
      </c>
      <c r="O45" s="151">
        <f t="shared" si="25"/>
        <v>-63720.943999999996</v>
      </c>
      <c r="P45" s="154">
        <f t="shared" si="26"/>
        <v>-10676.449999999999</v>
      </c>
      <c r="Q45" s="148">
        <f t="shared" si="27"/>
        <v>-165908.94999999998</v>
      </c>
      <c r="R45" s="28"/>
      <c r="S45" s="28"/>
      <c r="T45" s="28"/>
      <c r="U45" s="28"/>
      <c r="V45" s="28"/>
      <c r="W45" s="28"/>
      <c r="X45" s="28"/>
      <c r="Y45" s="28"/>
    </row>
    <row r="46" spans="1:25" x14ac:dyDescent="0.25">
      <c r="A46" s="18"/>
      <c r="B46" s="22"/>
      <c r="C46" s="20"/>
      <c r="D46" s="21"/>
      <c r="F46" s="31">
        <v>4</v>
      </c>
      <c r="G46" s="32">
        <f t="shared" si="19"/>
        <v>27250</v>
      </c>
      <c r="H46" s="32">
        <f t="shared" si="20"/>
        <v>32359.999999999996</v>
      </c>
      <c r="I46" s="33">
        <f t="shared" si="21"/>
        <v>22708.333333333332</v>
      </c>
      <c r="J46" s="20"/>
      <c r="K46" s="153">
        <v>4</v>
      </c>
      <c r="L46" s="156">
        <f t="shared" si="22"/>
        <v>-9087.0059999999994</v>
      </c>
      <c r="M46" s="151">
        <f t="shared" si="23"/>
        <v>-133287.106</v>
      </c>
      <c r="N46" s="156">
        <f t="shared" si="24"/>
        <v>-3823.2566399999996</v>
      </c>
      <c r="O46" s="151">
        <f t="shared" si="25"/>
        <v>-35184.200639999995</v>
      </c>
      <c r="P46" s="154">
        <f t="shared" si="26"/>
        <v>-9954.5369999999984</v>
      </c>
      <c r="Q46" s="148">
        <f t="shared" si="27"/>
        <v>-153155.15366666665</v>
      </c>
      <c r="R46" s="28"/>
      <c r="S46" s="28"/>
      <c r="T46" s="28"/>
      <c r="U46" s="28"/>
      <c r="V46" s="28"/>
      <c r="W46" s="28"/>
      <c r="X46" s="28"/>
      <c r="Y46" s="28"/>
    </row>
    <row r="47" spans="1:25" x14ac:dyDescent="0.25">
      <c r="A47" s="42" t="s">
        <v>67</v>
      </c>
      <c r="B47" s="75">
        <f>NPV(B17*(1-B43)*(1-B18),G43:G72)+G42</f>
        <v>29549.417265196389</v>
      </c>
      <c r="C47" s="76">
        <f>NPV(C17*(1-C43)*(1-C18),H43:H72)+H42</f>
        <v>21239.283244243677</v>
      </c>
      <c r="D47" s="77">
        <f>NPV(D17*(1-D43)*(1-D18),I43:I72)+I42</f>
        <v>19392.216570277378</v>
      </c>
      <c r="F47" s="31">
        <v>5</v>
      </c>
      <c r="G47" s="32">
        <f t="shared" si="19"/>
        <v>27250</v>
      </c>
      <c r="H47" s="32">
        <f t="shared" si="20"/>
        <v>57360.000000000022</v>
      </c>
      <c r="I47" s="33">
        <f t="shared" si="21"/>
        <v>22708.333333333332</v>
      </c>
      <c r="J47" s="20"/>
      <c r="K47" s="153">
        <v>5</v>
      </c>
      <c r="L47" s="156">
        <f t="shared" si="22"/>
        <v>-7997.2263599999997</v>
      </c>
      <c r="M47" s="151">
        <f t="shared" si="23"/>
        <v>-114034.33236</v>
      </c>
      <c r="N47" s="156">
        <f t="shared" si="24"/>
        <v>-2111.0520383999997</v>
      </c>
      <c r="O47" s="151">
        <f t="shared" si="25"/>
        <v>20064.747321600029</v>
      </c>
      <c r="P47" s="154">
        <f t="shared" si="26"/>
        <v>-9189.3092199999992</v>
      </c>
      <c r="Q47" s="148">
        <f t="shared" si="27"/>
        <v>-139636.12955333333</v>
      </c>
      <c r="R47" s="28"/>
      <c r="S47" s="28"/>
      <c r="T47" s="28"/>
      <c r="U47" s="28"/>
      <c r="V47" s="28"/>
      <c r="W47" s="28"/>
      <c r="X47" s="28"/>
      <c r="Y47" s="28"/>
    </row>
    <row r="48" spans="1:25" x14ac:dyDescent="0.25">
      <c r="A48" s="42" t="s">
        <v>68</v>
      </c>
      <c r="B48" s="78">
        <f>IRR(G42:G72,B43)</f>
        <v>7.4150527206165773E-2</v>
      </c>
      <c r="C48" s="46">
        <f>IRR(H42:H72,C43)</f>
        <v>9.5340887232766125E-2</v>
      </c>
      <c r="D48" s="79">
        <f>IRR(I42:I72,D43)</f>
        <v>6.2395271415946141E-2</v>
      </c>
      <c r="F48" s="31">
        <v>6</v>
      </c>
      <c r="G48" s="32">
        <f t="shared" si="19"/>
        <v>27250</v>
      </c>
      <c r="H48" s="32">
        <f t="shared" si="20"/>
        <v>0</v>
      </c>
      <c r="I48" s="33">
        <f t="shared" si="21"/>
        <v>22708.333333333332</v>
      </c>
      <c r="J48" s="20"/>
      <c r="K48" s="153">
        <v>6</v>
      </c>
      <c r="L48" s="156">
        <f t="shared" si="22"/>
        <v>-6842.0599415999995</v>
      </c>
      <c r="M48" s="151">
        <f t="shared" si="23"/>
        <v>-93626.392301600004</v>
      </c>
      <c r="N48" s="156">
        <f t="shared" si="24"/>
        <v>0</v>
      </c>
      <c r="O48" s="151">
        <f t="shared" si="25"/>
        <v>0</v>
      </c>
      <c r="P48" s="154">
        <f t="shared" si="26"/>
        <v>-8378.1677731999989</v>
      </c>
      <c r="Q48" s="148">
        <f t="shared" si="27"/>
        <v>-125305.9639932</v>
      </c>
      <c r="R48" s="28"/>
      <c r="S48" s="28"/>
      <c r="T48" s="28"/>
      <c r="U48" s="28"/>
      <c r="V48" s="28"/>
      <c r="W48" s="28"/>
      <c r="X48" s="28"/>
      <c r="Y48" s="28"/>
    </row>
    <row r="49" spans="1:25" ht="15.75" thickBot="1" x14ac:dyDescent="0.3">
      <c r="A49" s="80" t="s">
        <v>69</v>
      </c>
      <c r="B49" s="81">
        <f>-PMT(B17*(1-B43)*(1-B18),B14,B47)</f>
        <v>3767.5433769492638</v>
      </c>
      <c r="C49" s="82">
        <f t="shared" ref="C49:D49" si="28">-PMT(C17*(1-C43)*(1-C18),C14,C47)</f>
        <v>4862.4246150821573</v>
      </c>
      <c r="D49" s="83">
        <f t="shared" si="28"/>
        <v>2148.6252481298534</v>
      </c>
      <c r="F49" s="31">
        <v>7</v>
      </c>
      <c r="G49" s="32">
        <f t="shared" si="19"/>
        <v>27250</v>
      </c>
      <c r="H49" s="32">
        <f t="shared" si="20"/>
        <v>0</v>
      </c>
      <c r="I49" s="33">
        <f t="shared" si="21"/>
        <v>22708.333333333332</v>
      </c>
      <c r="J49" s="20"/>
      <c r="K49" s="153">
        <v>7</v>
      </c>
      <c r="L49" s="156">
        <f t="shared" si="22"/>
        <v>-5617.5835380959998</v>
      </c>
      <c r="M49" s="151">
        <f t="shared" si="23"/>
        <v>-71993.97583969601</v>
      </c>
      <c r="N49" s="156">
        <f t="shared" si="24"/>
        <v>0</v>
      </c>
      <c r="O49" s="151">
        <f t="shared" si="25"/>
        <v>0</v>
      </c>
      <c r="P49" s="154">
        <f t="shared" si="26"/>
        <v>-7518.3578395919994</v>
      </c>
      <c r="Q49" s="148">
        <f t="shared" si="27"/>
        <v>-110115.98849945866</v>
      </c>
      <c r="R49" s="28"/>
      <c r="S49" s="28"/>
      <c r="T49" s="28"/>
      <c r="U49" s="28"/>
      <c r="V49" s="28"/>
      <c r="W49" s="28"/>
      <c r="X49" s="28"/>
      <c r="Y49" s="28"/>
    </row>
    <row r="50" spans="1:25" x14ac:dyDescent="0.25">
      <c r="F50" s="31">
        <v>8</v>
      </c>
      <c r="G50" s="32">
        <f t="shared" si="19"/>
        <v>27250</v>
      </c>
      <c r="H50" s="32">
        <f t="shared" si="20"/>
        <v>0</v>
      </c>
      <c r="I50" s="33">
        <f t="shared" si="21"/>
        <v>22708.333333333332</v>
      </c>
      <c r="J50" s="20"/>
      <c r="K50" s="153">
        <v>8</v>
      </c>
      <c r="L50" s="156">
        <f t="shared" si="22"/>
        <v>-4319.6385503817601</v>
      </c>
      <c r="M50" s="151">
        <f t="shared" si="23"/>
        <v>-49063.614390077768</v>
      </c>
      <c r="N50" s="156">
        <f t="shared" si="24"/>
        <v>0</v>
      </c>
      <c r="O50" s="151">
        <f t="shared" si="25"/>
        <v>0</v>
      </c>
      <c r="P50" s="154">
        <f t="shared" si="26"/>
        <v>-6606.9593099675194</v>
      </c>
      <c r="Q50" s="148">
        <f t="shared" si="27"/>
        <v>-94014.614476092844</v>
      </c>
      <c r="R50" s="28"/>
      <c r="S50" s="28"/>
      <c r="T50" s="28"/>
      <c r="U50" s="28"/>
      <c r="V50" s="28"/>
      <c r="W50" s="28"/>
      <c r="X50" s="28"/>
      <c r="Y50" s="28"/>
    </row>
    <row r="51" spans="1:25" x14ac:dyDescent="0.25">
      <c r="A51" s="19"/>
      <c r="F51" s="31">
        <v>9</v>
      </c>
      <c r="G51" s="32">
        <f t="shared" si="19"/>
        <v>27250</v>
      </c>
      <c r="H51" s="32">
        <f t="shared" si="20"/>
        <v>0</v>
      </c>
      <c r="I51" s="33">
        <f t="shared" si="21"/>
        <v>22708.333333333332</v>
      </c>
      <c r="J51" s="20"/>
      <c r="K51" s="153">
        <v>9</v>
      </c>
      <c r="L51" s="156">
        <f t="shared" si="22"/>
        <v>-2943.816863404666</v>
      </c>
      <c r="M51" s="151">
        <f t="shared" si="23"/>
        <v>-24757.431253482435</v>
      </c>
      <c r="N51" s="156">
        <f t="shared" si="24"/>
        <v>0</v>
      </c>
      <c r="O51" s="151">
        <f t="shared" si="25"/>
        <v>0</v>
      </c>
      <c r="P51" s="154">
        <f t="shared" si="26"/>
        <v>-5640.8768685655705</v>
      </c>
      <c r="Q51" s="148">
        <f t="shared" si="27"/>
        <v>-76947.158011325082</v>
      </c>
      <c r="R51" s="28"/>
      <c r="S51" s="28"/>
      <c r="T51" s="28"/>
      <c r="U51" s="28"/>
      <c r="V51" s="28"/>
      <c r="W51" s="28"/>
      <c r="X51" s="28"/>
      <c r="Y51" s="28"/>
    </row>
    <row r="52" spans="1:25" x14ac:dyDescent="0.25">
      <c r="A52" s="19"/>
      <c r="B52" s="84"/>
      <c r="C52" s="85"/>
      <c r="D52" s="44"/>
      <c r="F52" s="31">
        <v>10</v>
      </c>
      <c r="G52" s="32">
        <f t="shared" si="19"/>
        <v>52250</v>
      </c>
      <c r="H52" s="32">
        <f t="shared" si="20"/>
        <v>0</v>
      </c>
      <c r="I52" s="33">
        <f t="shared" si="21"/>
        <v>22708.333333333332</v>
      </c>
      <c r="J52" s="20"/>
      <c r="K52" s="153">
        <v>10</v>
      </c>
      <c r="L52" s="156">
        <f t="shared" si="22"/>
        <v>-1485.4458752089461</v>
      </c>
      <c r="M52" s="151">
        <f t="shared" si="23"/>
        <v>26007.122871308617</v>
      </c>
      <c r="N52" s="156">
        <f t="shared" si="24"/>
        <v>0</v>
      </c>
      <c r="O52" s="151">
        <f t="shared" si="25"/>
        <v>0</v>
      </c>
      <c r="P52" s="154">
        <f t="shared" si="26"/>
        <v>-4616.8294806795047</v>
      </c>
      <c r="Q52" s="148">
        <f t="shared" si="27"/>
        <v>-58855.654158671256</v>
      </c>
      <c r="R52" s="28"/>
      <c r="S52" s="28"/>
      <c r="T52" s="28"/>
      <c r="U52" s="28"/>
      <c r="V52" s="28"/>
      <c r="W52" s="28"/>
      <c r="X52" s="28"/>
      <c r="Y52" s="28"/>
    </row>
    <row r="53" spans="1:25" x14ac:dyDescent="0.25">
      <c r="A53" s="19"/>
      <c r="B53" s="84"/>
      <c r="C53" s="85"/>
      <c r="D53" s="46"/>
      <c r="E53" s="86"/>
      <c r="F53" s="31">
        <v>11</v>
      </c>
      <c r="G53" s="32">
        <f t="shared" si="19"/>
        <v>0</v>
      </c>
      <c r="H53" s="32">
        <f t="shared" si="20"/>
        <v>0</v>
      </c>
      <c r="I53" s="33">
        <f t="shared" si="21"/>
        <v>22708.333333333332</v>
      </c>
      <c r="J53" s="20"/>
      <c r="K53" s="153">
        <v>11</v>
      </c>
      <c r="L53" s="156">
        <f t="shared" si="22"/>
        <v>0</v>
      </c>
      <c r="M53" s="151">
        <f t="shared" si="23"/>
        <v>0</v>
      </c>
      <c r="N53" s="156">
        <f t="shared" si="24"/>
        <v>0</v>
      </c>
      <c r="O53" s="151">
        <f t="shared" si="25"/>
        <v>0</v>
      </c>
      <c r="P53" s="154">
        <f t="shared" si="26"/>
        <v>-3531.3392495202752</v>
      </c>
      <c r="Q53" s="148">
        <f t="shared" si="27"/>
        <v>-39678.660074858199</v>
      </c>
      <c r="R53" s="28"/>
      <c r="S53" s="28"/>
      <c r="T53" s="28"/>
      <c r="U53" s="28"/>
      <c r="V53" s="28"/>
      <c r="W53" s="28"/>
      <c r="X53" s="28"/>
      <c r="Y53" s="28"/>
    </row>
    <row r="54" spans="1:25" x14ac:dyDescent="0.25">
      <c r="A54" s="19"/>
      <c r="B54" s="84"/>
      <c r="C54" s="85"/>
      <c r="D54" s="40"/>
      <c r="E54" s="87"/>
      <c r="F54" s="31">
        <v>12</v>
      </c>
      <c r="G54" s="32">
        <f t="shared" si="19"/>
        <v>0</v>
      </c>
      <c r="H54" s="32">
        <f t="shared" si="20"/>
        <v>0</v>
      </c>
      <c r="I54" s="33">
        <f t="shared" si="21"/>
        <v>47708.333333333336</v>
      </c>
      <c r="J54" s="88"/>
      <c r="K54" s="153">
        <v>12</v>
      </c>
      <c r="L54" s="156">
        <f t="shared" si="22"/>
        <v>0</v>
      </c>
      <c r="M54" s="151">
        <f t="shared" si="23"/>
        <v>0</v>
      </c>
      <c r="N54" s="156">
        <f t="shared" si="24"/>
        <v>0</v>
      </c>
      <c r="O54" s="151">
        <f t="shared" si="25"/>
        <v>0</v>
      </c>
      <c r="P54" s="154">
        <f t="shared" si="26"/>
        <v>-2380.7196044914917</v>
      </c>
      <c r="Q54" s="148">
        <f t="shared" si="27"/>
        <v>5648.9536539836481</v>
      </c>
      <c r="R54" s="28"/>
      <c r="S54" s="28"/>
      <c r="T54" s="28"/>
      <c r="U54" s="28"/>
      <c r="V54" s="28"/>
      <c r="W54" s="28"/>
      <c r="X54" s="28"/>
      <c r="Y54" s="28"/>
    </row>
    <row r="55" spans="1:25" x14ac:dyDescent="0.25">
      <c r="A55" s="89"/>
      <c r="B55" s="84"/>
      <c r="C55" s="90"/>
      <c r="D55" s="89"/>
      <c r="E55" s="87"/>
      <c r="F55" s="31">
        <v>13</v>
      </c>
      <c r="G55" s="32">
        <f t="shared" si="19"/>
        <v>0</v>
      </c>
      <c r="H55" s="32">
        <f t="shared" si="20"/>
        <v>0</v>
      </c>
      <c r="I55" s="33">
        <f t="shared" si="21"/>
        <v>0</v>
      </c>
      <c r="J55" s="88"/>
      <c r="K55" s="153">
        <v>13</v>
      </c>
      <c r="L55" s="156">
        <f t="shared" si="22"/>
        <v>0</v>
      </c>
      <c r="M55" s="151">
        <f t="shared" si="23"/>
        <v>0</v>
      </c>
      <c r="N55" s="156">
        <f t="shared" si="24"/>
        <v>0</v>
      </c>
      <c r="O55" s="151">
        <f t="shared" si="25"/>
        <v>0</v>
      </c>
      <c r="P55" s="154">
        <f t="shared" si="26"/>
        <v>0</v>
      </c>
      <c r="Q55" s="148">
        <f t="shared" si="27"/>
        <v>0</v>
      </c>
      <c r="R55" s="28"/>
      <c r="S55" s="28"/>
      <c r="T55" s="28"/>
      <c r="U55" s="28"/>
      <c r="V55" s="28"/>
      <c r="W55" s="28"/>
      <c r="X55" s="28"/>
      <c r="Y55" s="28"/>
    </row>
    <row r="56" spans="1:25" x14ac:dyDescent="0.25">
      <c r="C56" s="51"/>
      <c r="D56" s="51"/>
      <c r="E56" s="91"/>
      <c r="F56" s="31">
        <v>14</v>
      </c>
      <c r="G56" s="32">
        <f t="shared" si="19"/>
        <v>0</v>
      </c>
      <c r="H56" s="32">
        <f t="shared" si="20"/>
        <v>0</v>
      </c>
      <c r="I56" s="33">
        <f t="shared" si="21"/>
        <v>0</v>
      </c>
      <c r="J56" s="92"/>
      <c r="K56" s="153">
        <v>14</v>
      </c>
      <c r="L56" s="156">
        <f t="shared" si="22"/>
        <v>0</v>
      </c>
      <c r="M56" s="151">
        <f t="shared" si="23"/>
        <v>0</v>
      </c>
      <c r="N56" s="156">
        <f t="shared" si="24"/>
        <v>0</v>
      </c>
      <c r="O56" s="151">
        <f t="shared" si="25"/>
        <v>0</v>
      </c>
      <c r="P56" s="154">
        <f t="shared" si="26"/>
        <v>0</v>
      </c>
      <c r="Q56" s="148">
        <f t="shared" si="27"/>
        <v>0</v>
      </c>
      <c r="R56" s="28"/>
      <c r="S56" s="28"/>
      <c r="T56" s="28"/>
      <c r="U56" s="28"/>
      <c r="V56" s="28"/>
      <c r="W56" s="28"/>
      <c r="X56" s="28"/>
      <c r="Y56" s="28"/>
    </row>
    <row r="57" spans="1:25" x14ac:dyDescent="0.25">
      <c r="A57" s="89"/>
      <c r="B57" s="93"/>
      <c r="C57" s="93"/>
      <c r="D57" s="93"/>
      <c r="E57" s="91"/>
      <c r="F57" s="31">
        <v>15</v>
      </c>
      <c r="G57" s="32">
        <f t="shared" si="19"/>
        <v>0</v>
      </c>
      <c r="H57" s="32">
        <f t="shared" si="20"/>
        <v>0</v>
      </c>
      <c r="I57" s="33">
        <f t="shared" si="21"/>
        <v>0</v>
      </c>
      <c r="J57" s="92"/>
      <c r="K57" s="153">
        <v>15</v>
      </c>
      <c r="L57" s="156">
        <f t="shared" si="22"/>
        <v>0</v>
      </c>
      <c r="M57" s="151">
        <f t="shared" si="23"/>
        <v>0</v>
      </c>
      <c r="N57" s="156">
        <f t="shared" si="24"/>
        <v>0</v>
      </c>
      <c r="O57" s="151">
        <f t="shared" si="25"/>
        <v>0</v>
      </c>
      <c r="P57" s="154">
        <f t="shared" si="26"/>
        <v>0</v>
      </c>
      <c r="Q57" s="148">
        <f t="shared" si="27"/>
        <v>0</v>
      </c>
      <c r="R57" s="28"/>
      <c r="S57" s="28"/>
      <c r="T57" s="28"/>
      <c r="U57" s="28"/>
      <c r="V57" s="28"/>
      <c r="W57" s="28"/>
      <c r="X57" s="28"/>
      <c r="Y57" s="28"/>
    </row>
    <row r="58" spans="1:25" x14ac:dyDescent="0.25">
      <c r="A58" s="44"/>
      <c r="B58" s="44"/>
      <c r="C58" s="44"/>
      <c r="D58" s="40"/>
      <c r="E58" s="44"/>
      <c r="F58" s="31">
        <v>16</v>
      </c>
      <c r="G58" s="32">
        <f t="shared" si="19"/>
        <v>0</v>
      </c>
      <c r="H58" s="32">
        <f t="shared" si="20"/>
        <v>0</v>
      </c>
      <c r="I58" s="33">
        <f t="shared" si="21"/>
        <v>0</v>
      </c>
      <c r="J58" s="20"/>
      <c r="K58" s="153">
        <v>16</v>
      </c>
      <c r="L58" s="156">
        <f t="shared" si="22"/>
        <v>0</v>
      </c>
      <c r="M58" s="151">
        <f t="shared" si="23"/>
        <v>0</v>
      </c>
      <c r="N58" s="156">
        <f t="shared" si="24"/>
        <v>0</v>
      </c>
      <c r="O58" s="151">
        <f t="shared" si="25"/>
        <v>0</v>
      </c>
      <c r="P58" s="154">
        <f t="shared" si="26"/>
        <v>0</v>
      </c>
      <c r="Q58" s="148">
        <f t="shared" si="27"/>
        <v>0</v>
      </c>
      <c r="R58" s="28"/>
      <c r="S58" s="28"/>
      <c r="T58" s="28"/>
      <c r="U58" s="28"/>
      <c r="V58" s="28"/>
      <c r="W58" s="28"/>
      <c r="X58" s="28"/>
      <c r="Y58" s="28"/>
    </row>
    <row r="59" spans="1:25" x14ac:dyDescent="0.25">
      <c r="A59" s="44"/>
      <c r="B59" s="44"/>
      <c r="C59" s="44"/>
      <c r="D59" s="40"/>
      <c r="E59" s="44"/>
      <c r="F59" s="31">
        <v>17</v>
      </c>
      <c r="G59" s="32">
        <f t="shared" si="19"/>
        <v>0</v>
      </c>
      <c r="H59" s="32">
        <f t="shared" si="20"/>
        <v>0</v>
      </c>
      <c r="I59" s="33">
        <f t="shared" si="21"/>
        <v>0</v>
      </c>
      <c r="J59" s="20"/>
      <c r="K59" s="153">
        <v>17</v>
      </c>
      <c r="L59" s="156">
        <f t="shared" si="22"/>
        <v>0</v>
      </c>
      <c r="M59" s="151">
        <f t="shared" si="23"/>
        <v>0</v>
      </c>
      <c r="N59" s="156">
        <f t="shared" si="24"/>
        <v>0</v>
      </c>
      <c r="O59" s="151">
        <f t="shared" si="25"/>
        <v>0</v>
      </c>
      <c r="P59" s="154">
        <f t="shared" si="26"/>
        <v>0</v>
      </c>
      <c r="Q59" s="148">
        <f t="shared" si="27"/>
        <v>0</v>
      </c>
      <c r="R59" s="28"/>
      <c r="S59" s="28"/>
      <c r="T59" s="28"/>
      <c r="U59" s="28"/>
      <c r="V59" s="28"/>
      <c r="W59" s="28"/>
      <c r="X59" s="28"/>
      <c r="Y59" s="28"/>
    </row>
    <row r="60" spans="1:25" x14ac:dyDescent="0.25">
      <c r="D60" s="94"/>
      <c r="E60" s="44"/>
      <c r="F60" s="31">
        <v>18</v>
      </c>
      <c r="G60" s="32">
        <f t="shared" si="19"/>
        <v>0</v>
      </c>
      <c r="H60" s="32">
        <f t="shared" si="20"/>
        <v>0</v>
      </c>
      <c r="I60" s="33">
        <f t="shared" si="21"/>
        <v>0</v>
      </c>
      <c r="J60" s="20"/>
      <c r="K60" s="153">
        <v>18</v>
      </c>
      <c r="L60" s="156">
        <f t="shared" si="22"/>
        <v>0</v>
      </c>
      <c r="M60" s="151">
        <f t="shared" si="23"/>
        <v>0</v>
      </c>
      <c r="N60" s="156">
        <f t="shared" si="24"/>
        <v>0</v>
      </c>
      <c r="O60" s="151">
        <f t="shared" si="25"/>
        <v>0</v>
      </c>
      <c r="P60" s="154">
        <f t="shared" si="26"/>
        <v>0</v>
      </c>
      <c r="Q60" s="148">
        <f t="shared" si="27"/>
        <v>0</v>
      </c>
      <c r="R60" s="28"/>
      <c r="S60" s="28"/>
      <c r="T60" s="28"/>
      <c r="U60" s="28"/>
      <c r="V60" s="28"/>
      <c r="W60" s="28"/>
      <c r="X60" s="28"/>
      <c r="Y60" s="28"/>
    </row>
    <row r="61" spans="1:25" x14ac:dyDescent="0.25">
      <c r="D61" s="44"/>
      <c r="E61" s="44"/>
      <c r="F61" s="31">
        <v>19</v>
      </c>
      <c r="G61" s="32">
        <f t="shared" si="19"/>
        <v>0</v>
      </c>
      <c r="H61" s="32">
        <f t="shared" si="20"/>
        <v>0</v>
      </c>
      <c r="I61" s="33">
        <f t="shared" si="21"/>
        <v>0</v>
      </c>
      <c r="J61" s="20"/>
      <c r="K61" s="153">
        <v>19</v>
      </c>
      <c r="L61" s="156">
        <f t="shared" si="22"/>
        <v>0</v>
      </c>
      <c r="M61" s="151">
        <f t="shared" si="23"/>
        <v>0</v>
      </c>
      <c r="N61" s="156">
        <f t="shared" si="24"/>
        <v>0</v>
      </c>
      <c r="O61" s="151">
        <f t="shared" si="25"/>
        <v>0</v>
      </c>
      <c r="P61" s="154">
        <f t="shared" si="26"/>
        <v>0</v>
      </c>
      <c r="Q61" s="148">
        <f t="shared" si="27"/>
        <v>0</v>
      </c>
      <c r="R61" s="28"/>
      <c r="S61" s="28"/>
      <c r="T61" s="28"/>
      <c r="U61" s="28"/>
      <c r="V61" s="28"/>
      <c r="W61" s="28"/>
      <c r="X61" s="28"/>
      <c r="Y61" s="28"/>
    </row>
    <row r="62" spans="1:25" x14ac:dyDescent="0.25">
      <c r="D62" s="44"/>
      <c r="E62" s="44"/>
      <c r="F62" s="31">
        <v>20</v>
      </c>
      <c r="G62" s="32">
        <f t="shared" si="19"/>
        <v>0</v>
      </c>
      <c r="H62" s="32">
        <f t="shared" si="20"/>
        <v>0</v>
      </c>
      <c r="I62" s="33">
        <f t="shared" si="21"/>
        <v>0</v>
      </c>
      <c r="J62" s="20"/>
      <c r="K62" s="153">
        <v>20</v>
      </c>
      <c r="L62" s="156">
        <f t="shared" si="22"/>
        <v>0</v>
      </c>
      <c r="M62" s="151">
        <f t="shared" si="23"/>
        <v>0</v>
      </c>
      <c r="N62" s="156">
        <f t="shared" si="24"/>
        <v>0</v>
      </c>
      <c r="O62" s="151">
        <f t="shared" si="25"/>
        <v>0</v>
      </c>
      <c r="P62" s="154">
        <f t="shared" si="26"/>
        <v>0</v>
      </c>
      <c r="Q62" s="148">
        <f t="shared" si="27"/>
        <v>0</v>
      </c>
      <c r="R62" s="28"/>
      <c r="S62" s="28"/>
      <c r="T62" s="28"/>
      <c r="U62" s="28"/>
      <c r="V62" s="28"/>
      <c r="W62" s="28"/>
      <c r="X62" s="28"/>
      <c r="Y62" s="28"/>
    </row>
    <row r="63" spans="1:25" x14ac:dyDescent="0.25">
      <c r="D63" s="46"/>
      <c r="E63" s="46"/>
      <c r="F63" s="31">
        <v>21</v>
      </c>
      <c r="G63" s="32">
        <f t="shared" si="19"/>
        <v>0</v>
      </c>
      <c r="H63" s="32">
        <f t="shared" si="20"/>
        <v>0</v>
      </c>
      <c r="I63" s="33">
        <f t="shared" si="21"/>
        <v>0</v>
      </c>
      <c r="J63" s="95"/>
      <c r="K63" s="153">
        <v>21</v>
      </c>
      <c r="L63" s="156">
        <f t="shared" si="22"/>
        <v>0</v>
      </c>
      <c r="M63" s="151">
        <f t="shared" si="23"/>
        <v>0</v>
      </c>
      <c r="N63" s="156">
        <f t="shared" si="24"/>
        <v>0</v>
      </c>
      <c r="O63" s="151">
        <f t="shared" si="25"/>
        <v>0</v>
      </c>
      <c r="P63" s="154">
        <f t="shared" si="26"/>
        <v>0</v>
      </c>
      <c r="Q63" s="148">
        <f t="shared" si="27"/>
        <v>0</v>
      </c>
      <c r="R63" s="28"/>
      <c r="S63" s="28"/>
      <c r="T63" s="28"/>
      <c r="U63" s="28"/>
      <c r="V63" s="28"/>
      <c r="W63" s="28"/>
      <c r="X63" s="28"/>
      <c r="Y63" s="28"/>
    </row>
    <row r="64" spans="1:25" x14ac:dyDescent="0.25">
      <c r="D64" s="96"/>
      <c r="E64" s="96"/>
      <c r="F64" s="31">
        <v>22</v>
      </c>
      <c r="G64" s="32">
        <f t="shared" si="19"/>
        <v>0</v>
      </c>
      <c r="H64" s="32">
        <f t="shared" si="20"/>
        <v>0</v>
      </c>
      <c r="I64" s="33">
        <f t="shared" si="21"/>
        <v>0</v>
      </c>
      <c r="J64" s="97"/>
      <c r="K64" s="153">
        <v>22</v>
      </c>
      <c r="L64" s="156">
        <f t="shared" si="22"/>
        <v>0</v>
      </c>
      <c r="M64" s="151">
        <f t="shared" si="23"/>
        <v>0</v>
      </c>
      <c r="N64" s="156">
        <f t="shared" si="24"/>
        <v>0</v>
      </c>
      <c r="O64" s="151">
        <f t="shared" si="25"/>
        <v>0</v>
      </c>
      <c r="P64" s="154">
        <f t="shared" si="26"/>
        <v>0</v>
      </c>
      <c r="Q64" s="148">
        <f t="shared" si="27"/>
        <v>0</v>
      </c>
      <c r="R64" s="28"/>
      <c r="S64" s="28"/>
      <c r="T64" s="28"/>
      <c r="U64" s="28"/>
      <c r="V64" s="28"/>
      <c r="W64" s="28"/>
      <c r="X64" s="28"/>
      <c r="Y64" s="28"/>
    </row>
    <row r="65" spans="1:25" x14ac:dyDescent="0.25">
      <c r="D65" s="96"/>
      <c r="E65" s="96"/>
      <c r="F65" s="31">
        <v>23</v>
      </c>
      <c r="G65" s="32">
        <f t="shared" si="19"/>
        <v>0</v>
      </c>
      <c r="H65" s="32">
        <f t="shared" si="20"/>
        <v>0</v>
      </c>
      <c r="I65" s="33">
        <f t="shared" si="21"/>
        <v>0</v>
      </c>
      <c r="J65" s="97"/>
      <c r="K65" s="153">
        <v>23</v>
      </c>
      <c r="L65" s="156">
        <f t="shared" si="22"/>
        <v>0</v>
      </c>
      <c r="M65" s="151">
        <f t="shared" si="23"/>
        <v>0</v>
      </c>
      <c r="N65" s="156">
        <f t="shared" si="24"/>
        <v>0</v>
      </c>
      <c r="O65" s="151">
        <f t="shared" si="25"/>
        <v>0</v>
      </c>
      <c r="P65" s="154">
        <f t="shared" si="26"/>
        <v>0</v>
      </c>
      <c r="Q65" s="148">
        <f t="shared" si="27"/>
        <v>0</v>
      </c>
      <c r="R65" s="28"/>
      <c r="S65" s="28"/>
      <c r="T65" s="28"/>
      <c r="U65" s="28"/>
      <c r="V65" s="28"/>
      <c r="W65" s="28"/>
      <c r="X65" s="28"/>
      <c r="Y65" s="28"/>
    </row>
    <row r="66" spans="1:25" x14ac:dyDescent="0.25">
      <c r="A66" s="44"/>
      <c r="B66" s="96"/>
      <c r="C66" s="76"/>
      <c r="D66" s="96"/>
      <c r="E66" s="96"/>
      <c r="F66" s="31">
        <v>24</v>
      </c>
      <c r="G66" s="32">
        <f t="shared" si="19"/>
        <v>0</v>
      </c>
      <c r="H66" s="32">
        <f t="shared" si="20"/>
        <v>0</v>
      </c>
      <c r="I66" s="33">
        <f t="shared" si="21"/>
        <v>0</v>
      </c>
      <c r="J66" s="97"/>
      <c r="K66" s="153">
        <v>24</v>
      </c>
      <c r="L66" s="156">
        <f t="shared" si="22"/>
        <v>0</v>
      </c>
      <c r="M66" s="151">
        <f t="shared" si="23"/>
        <v>0</v>
      </c>
      <c r="N66" s="156">
        <f t="shared" si="24"/>
        <v>0</v>
      </c>
      <c r="O66" s="151">
        <f t="shared" si="25"/>
        <v>0</v>
      </c>
      <c r="P66" s="154">
        <f t="shared" si="26"/>
        <v>0</v>
      </c>
      <c r="Q66" s="148">
        <f t="shared" si="27"/>
        <v>0</v>
      </c>
      <c r="R66" s="28"/>
      <c r="S66" s="28"/>
      <c r="T66" s="28"/>
      <c r="U66" s="28"/>
      <c r="V66" s="28"/>
      <c r="W66" s="28"/>
      <c r="X66" s="28"/>
      <c r="Y66" s="28"/>
    </row>
    <row r="67" spans="1:25" x14ac:dyDescent="0.25">
      <c r="A67" s="44"/>
      <c r="B67" s="76"/>
      <c r="C67" s="40"/>
      <c r="D67" s="76"/>
      <c r="E67" s="76"/>
      <c r="F67" s="31">
        <v>25</v>
      </c>
      <c r="G67" s="32">
        <f t="shared" si="19"/>
        <v>0</v>
      </c>
      <c r="H67" s="32">
        <f t="shared" si="20"/>
        <v>0</v>
      </c>
      <c r="I67" s="33">
        <f t="shared" si="21"/>
        <v>0</v>
      </c>
      <c r="J67" s="98"/>
      <c r="K67" s="153">
        <v>25</v>
      </c>
      <c r="L67" s="156">
        <f t="shared" si="22"/>
        <v>0</v>
      </c>
      <c r="M67" s="151">
        <f t="shared" si="23"/>
        <v>0</v>
      </c>
      <c r="N67" s="156">
        <f t="shared" si="24"/>
        <v>0</v>
      </c>
      <c r="O67" s="151">
        <f t="shared" si="25"/>
        <v>0</v>
      </c>
      <c r="P67" s="154">
        <f t="shared" si="26"/>
        <v>0</v>
      </c>
      <c r="Q67" s="148">
        <f t="shared" si="27"/>
        <v>0</v>
      </c>
      <c r="R67" s="28"/>
      <c r="S67" s="28"/>
      <c r="T67" s="28"/>
      <c r="U67" s="28"/>
      <c r="V67" s="28"/>
      <c r="W67" s="28"/>
      <c r="X67" s="28"/>
      <c r="Y67" s="28"/>
    </row>
    <row r="68" spans="1:25" x14ac:dyDescent="0.25">
      <c r="A68" s="44"/>
      <c r="B68" s="96"/>
      <c r="C68" s="76"/>
      <c r="D68" s="96"/>
      <c r="E68" s="96"/>
      <c r="F68" s="31">
        <v>26</v>
      </c>
      <c r="G68" s="32">
        <f t="shared" si="19"/>
        <v>0</v>
      </c>
      <c r="H68" s="32">
        <f t="shared" si="20"/>
        <v>0</v>
      </c>
      <c r="I68" s="33">
        <f t="shared" si="21"/>
        <v>0</v>
      </c>
      <c r="J68" s="97"/>
      <c r="K68" s="153">
        <v>26</v>
      </c>
      <c r="L68" s="156">
        <f t="shared" si="22"/>
        <v>0</v>
      </c>
      <c r="M68" s="151">
        <f t="shared" si="23"/>
        <v>0</v>
      </c>
      <c r="N68" s="156">
        <f t="shared" si="24"/>
        <v>0</v>
      </c>
      <c r="O68" s="151">
        <f t="shared" si="25"/>
        <v>0</v>
      </c>
      <c r="P68" s="154">
        <f t="shared" si="26"/>
        <v>0</v>
      </c>
      <c r="Q68" s="148">
        <f t="shared" si="27"/>
        <v>0</v>
      </c>
      <c r="R68" s="28"/>
      <c r="S68" s="28"/>
      <c r="T68" s="28"/>
      <c r="U68" s="28"/>
      <c r="V68" s="28"/>
      <c r="W68" s="28"/>
      <c r="X68" s="28"/>
      <c r="Y68" s="28"/>
    </row>
    <row r="69" spans="1:25" x14ac:dyDescent="0.25">
      <c r="A69" s="44"/>
      <c r="B69" s="96"/>
      <c r="C69" s="76"/>
      <c r="D69" s="96"/>
      <c r="E69" s="96"/>
      <c r="F69" s="31">
        <v>27</v>
      </c>
      <c r="G69" s="32">
        <f t="shared" si="19"/>
        <v>0</v>
      </c>
      <c r="H69" s="32">
        <f t="shared" si="20"/>
        <v>0</v>
      </c>
      <c r="I69" s="33">
        <f t="shared" si="21"/>
        <v>0</v>
      </c>
      <c r="J69" s="97"/>
      <c r="K69" s="153">
        <v>27</v>
      </c>
      <c r="L69" s="156">
        <f t="shared" si="22"/>
        <v>0</v>
      </c>
      <c r="M69" s="151">
        <f t="shared" si="23"/>
        <v>0</v>
      </c>
      <c r="N69" s="156">
        <f t="shared" si="24"/>
        <v>0</v>
      </c>
      <c r="O69" s="151">
        <f t="shared" si="25"/>
        <v>0</v>
      </c>
      <c r="P69" s="154">
        <f t="shared" si="26"/>
        <v>0</v>
      </c>
      <c r="Q69" s="148">
        <f t="shared" si="27"/>
        <v>0</v>
      </c>
      <c r="R69" s="28"/>
      <c r="S69" s="28"/>
      <c r="T69" s="28"/>
      <c r="U69" s="28"/>
      <c r="V69" s="28"/>
      <c r="W69" s="28"/>
      <c r="X69" s="28"/>
      <c r="Y69" s="28"/>
    </row>
    <row r="70" spans="1:25" x14ac:dyDescent="0.25">
      <c r="A70" s="44"/>
      <c r="B70" s="96"/>
      <c r="C70" s="76"/>
      <c r="D70" s="96"/>
      <c r="E70" s="96"/>
      <c r="F70" s="31">
        <v>28</v>
      </c>
      <c r="G70" s="32">
        <f t="shared" si="19"/>
        <v>0</v>
      </c>
      <c r="H70" s="32">
        <f t="shared" si="20"/>
        <v>0</v>
      </c>
      <c r="I70" s="33">
        <f t="shared" si="21"/>
        <v>0</v>
      </c>
      <c r="J70" s="97"/>
      <c r="K70" s="153">
        <v>28</v>
      </c>
      <c r="L70" s="156">
        <f t="shared" si="22"/>
        <v>0</v>
      </c>
      <c r="M70" s="151">
        <f t="shared" si="23"/>
        <v>0</v>
      </c>
      <c r="N70" s="156">
        <f t="shared" si="24"/>
        <v>0</v>
      </c>
      <c r="O70" s="151">
        <f t="shared" si="25"/>
        <v>0</v>
      </c>
      <c r="P70" s="154">
        <f t="shared" si="26"/>
        <v>0</v>
      </c>
      <c r="Q70" s="148">
        <f t="shared" si="27"/>
        <v>0</v>
      </c>
      <c r="R70" s="28"/>
      <c r="S70" s="28"/>
      <c r="T70" s="28"/>
      <c r="U70" s="28"/>
      <c r="V70" s="28"/>
      <c r="W70" s="28"/>
      <c r="X70" s="28"/>
      <c r="Y70" s="28"/>
    </row>
    <row r="71" spans="1:25" x14ac:dyDescent="0.25">
      <c r="A71" s="44"/>
      <c r="B71" s="44"/>
      <c r="C71" s="44"/>
      <c r="D71" s="44"/>
      <c r="E71" s="44"/>
      <c r="F71" s="31">
        <v>29</v>
      </c>
      <c r="G71" s="32">
        <f t="shared" si="19"/>
        <v>0</v>
      </c>
      <c r="H71" s="32">
        <f t="shared" si="20"/>
        <v>0</v>
      </c>
      <c r="I71" s="33">
        <f t="shared" si="21"/>
        <v>0</v>
      </c>
      <c r="J71" s="20"/>
      <c r="K71" s="153">
        <v>29</v>
      </c>
      <c r="L71" s="156">
        <f t="shared" si="22"/>
        <v>0</v>
      </c>
      <c r="M71" s="151">
        <f t="shared" si="23"/>
        <v>0</v>
      </c>
      <c r="N71" s="156">
        <f t="shared" si="24"/>
        <v>0</v>
      </c>
      <c r="O71" s="151">
        <f t="shared" si="25"/>
        <v>0</v>
      </c>
      <c r="P71" s="154">
        <f t="shared" si="26"/>
        <v>0</v>
      </c>
      <c r="Q71" s="148">
        <f t="shared" si="27"/>
        <v>0</v>
      </c>
      <c r="R71" s="28"/>
      <c r="S71" s="28"/>
      <c r="T71" s="28"/>
      <c r="U71" s="28"/>
      <c r="V71" s="28"/>
      <c r="W71" s="28"/>
      <c r="X71" s="28"/>
      <c r="Y71" s="28"/>
    </row>
    <row r="72" spans="1:25" ht="15.75" thickBot="1" x14ac:dyDescent="0.3">
      <c r="A72" s="26"/>
      <c r="B72" s="46"/>
      <c r="C72" s="46"/>
      <c r="D72" s="46"/>
      <c r="E72" s="46"/>
      <c r="F72" s="59">
        <v>30</v>
      </c>
      <c r="G72" s="60">
        <f t="shared" si="19"/>
        <v>0</v>
      </c>
      <c r="H72" s="60">
        <f t="shared" si="20"/>
        <v>0</v>
      </c>
      <c r="I72" s="61">
        <f t="shared" si="21"/>
        <v>0</v>
      </c>
      <c r="J72" s="99"/>
      <c r="K72" s="158">
        <v>30</v>
      </c>
      <c r="L72" s="161">
        <f t="shared" si="22"/>
        <v>0</v>
      </c>
      <c r="M72" s="162">
        <f t="shared" si="23"/>
        <v>0</v>
      </c>
      <c r="N72" s="161">
        <f t="shared" si="24"/>
        <v>0</v>
      </c>
      <c r="O72" s="162">
        <f t="shared" si="25"/>
        <v>0</v>
      </c>
      <c r="P72" s="159">
        <f t="shared" si="26"/>
        <v>0</v>
      </c>
      <c r="Q72" s="163">
        <f t="shared" si="27"/>
        <v>0</v>
      </c>
      <c r="R72" s="28"/>
      <c r="S72" s="28"/>
      <c r="T72" s="28"/>
      <c r="U72" s="28"/>
      <c r="V72" s="28"/>
      <c r="W72" s="28"/>
      <c r="X72" s="28"/>
      <c r="Y72" s="28"/>
    </row>
    <row r="73" spans="1:25" x14ac:dyDescent="0.25">
      <c r="A73" s="100"/>
      <c r="B73" s="96"/>
      <c r="C73" s="76"/>
      <c r="D73" s="96"/>
      <c r="E73" s="96"/>
      <c r="F73" s="96"/>
      <c r="G73" s="96"/>
      <c r="H73" s="96"/>
      <c r="I73" s="97"/>
      <c r="J73" s="97"/>
      <c r="K73" s="97"/>
      <c r="L73" s="97"/>
      <c r="N73" s="97"/>
      <c r="P73" s="97"/>
    </row>
    <row r="74" spans="1:25" ht="15.75" thickBot="1" x14ac:dyDescent="0.3">
      <c r="A74" s="100"/>
      <c r="B74" s="96"/>
      <c r="C74" s="76"/>
      <c r="D74" s="96"/>
      <c r="E74" s="96"/>
      <c r="F74" s="96"/>
      <c r="G74" s="96"/>
      <c r="H74" s="96"/>
      <c r="I74" s="96"/>
      <c r="J74" s="97"/>
      <c r="K74" s="97"/>
      <c r="L74" s="97"/>
      <c r="N74" s="97"/>
      <c r="P74" s="97"/>
    </row>
    <row r="75" spans="1:25" x14ac:dyDescent="0.25">
      <c r="A75" s="19"/>
      <c r="B75" s="101"/>
      <c r="C75" s="101"/>
      <c r="D75" s="102" t="s">
        <v>18</v>
      </c>
      <c r="E75" s="96"/>
      <c r="F75" s="101"/>
      <c r="G75" s="96"/>
      <c r="H75" s="96"/>
      <c r="I75" s="96"/>
      <c r="J75" s="97"/>
      <c r="K75" s="171" t="s">
        <v>4</v>
      </c>
      <c r="L75" s="174" t="s">
        <v>5</v>
      </c>
      <c r="M75" s="175"/>
      <c r="N75" s="174" t="s">
        <v>6</v>
      </c>
      <c r="O75" s="175"/>
      <c r="P75" s="174" t="s">
        <v>7</v>
      </c>
      <c r="Q75" s="176"/>
      <c r="R75" s="16"/>
      <c r="S75" s="16"/>
      <c r="T75" s="16"/>
      <c r="U75" s="16"/>
      <c r="V75" s="16"/>
      <c r="W75" s="16"/>
      <c r="X75" s="16"/>
      <c r="Y75" s="16"/>
    </row>
    <row r="76" spans="1:25" x14ac:dyDescent="0.25">
      <c r="A76" s="19"/>
      <c r="B76" s="101"/>
      <c r="C76" s="101"/>
      <c r="D76" s="103" t="s">
        <v>25</v>
      </c>
      <c r="E76" s="76"/>
      <c r="F76" s="101"/>
      <c r="G76" s="76"/>
      <c r="H76" s="76"/>
      <c r="I76" s="76"/>
      <c r="J76" s="98"/>
      <c r="K76" s="166" t="s">
        <v>3</v>
      </c>
      <c r="L76" s="167" t="s">
        <v>26</v>
      </c>
      <c r="M76" s="168" t="s">
        <v>24</v>
      </c>
      <c r="N76" s="167" t="s">
        <v>22</v>
      </c>
      <c r="O76" s="168" t="s">
        <v>24</v>
      </c>
      <c r="P76" s="167" t="s">
        <v>22</v>
      </c>
      <c r="Q76" s="169" t="s">
        <v>24</v>
      </c>
      <c r="R76" s="26"/>
      <c r="S76" s="26"/>
      <c r="T76" s="26"/>
      <c r="U76" s="26"/>
      <c r="V76" s="26"/>
      <c r="W76" s="26"/>
      <c r="X76" s="26"/>
      <c r="Y76" s="26"/>
    </row>
    <row r="77" spans="1:25" x14ac:dyDescent="0.25">
      <c r="A77" s="104"/>
      <c r="B77" s="101"/>
      <c r="C77" s="101"/>
      <c r="D77" s="105" t="s">
        <v>23</v>
      </c>
      <c r="E77" s="96"/>
      <c r="F77" s="101"/>
      <c r="G77" s="96"/>
      <c r="H77" s="96"/>
      <c r="I77" s="96"/>
      <c r="J77" s="97"/>
      <c r="K77" s="146">
        <v>0</v>
      </c>
      <c r="L77" s="150"/>
      <c r="M77" s="151">
        <f>-$G$42</f>
        <v>200000</v>
      </c>
      <c r="N77" s="150"/>
      <c r="O77" s="151">
        <f>-H42</f>
        <v>140000</v>
      </c>
      <c r="P77" s="152"/>
      <c r="Q77" s="148">
        <f>-I42</f>
        <v>200000</v>
      </c>
      <c r="R77" s="28"/>
      <c r="S77" s="28"/>
      <c r="T77" s="28"/>
      <c r="U77" s="28"/>
      <c r="V77" s="28"/>
      <c r="W77" s="28"/>
      <c r="X77" s="28"/>
      <c r="Y77" s="28"/>
    </row>
    <row r="78" spans="1:25" x14ac:dyDescent="0.25">
      <c r="A78" s="19"/>
      <c r="B78" s="101"/>
      <c r="C78" s="101"/>
      <c r="D78" s="103" t="s">
        <v>24</v>
      </c>
      <c r="E78" s="96"/>
      <c r="F78" s="101"/>
      <c r="G78" s="96"/>
      <c r="H78" s="96"/>
      <c r="I78" s="96"/>
      <c r="J78" s="97"/>
      <c r="K78" s="153">
        <v>1</v>
      </c>
      <c r="L78" s="156">
        <f>IF(K78&lt;=$B$14,IF($B$44=$D$76,0,IF($B$44=$D$77,($M$77*$B$45),IF($B$44=$D$78,M77*$B$45))),0)</f>
        <v>17500</v>
      </c>
      <c r="M78" s="151">
        <f>IF(K78&lt;=$B$14,+M77-L78-IF(K78=$B$14,$B$15,0),0)</f>
        <v>182500</v>
      </c>
      <c r="N78" s="156">
        <f>IF(K78&lt;=$C$14,IF($C$44=$D$76,0,IF($C$44=$D$77,($O$77*$C$45),IF($C$44=$D$78,O77*$C$45))),0)</f>
        <v>22999.999999999978</v>
      </c>
      <c r="O78" s="151">
        <f>IF(K78&lt;=$C$14,+O77-N78-IF(K78=$C$14,$C$15,0),0)</f>
        <v>117000.00000000003</v>
      </c>
      <c r="P78" s="156">
        <f t="shared" ref="P78:P86" si="29">IF(K78&lt;=$D$14,IF($D$44=$D$76,0,IF($D$44=$D$77,($Q$77*$D$45),IF($D$44=$D$78,Q77*$D$45))),0)</f>
        <v>14583.333333333332</v>
      </c>
      <c r="Q78" s="148">
        <f>IF(K78&lt;=$D$14,+Q77-P78-IF(K78=$D$14,$D$15,0),0)</f>
        <v>185416.66666666666</v>
      </c>
      <c r="R78" s="28"/>
      <c r="S78" s="28"/>
      <c r="T78" s="28"/>
      <c r="U78" s="28"/>
      <c r="V78" s="28"/>
      <c r="W78" s="28"/>
      <c r="X78" s="28"/>
      <c r="Y78" s="28"/>
    </row>
    <row r="79" spans="1:25" x14ac:dyDescent="0.25">
      <c r="A79" s="19"/>
      <c r="B79" s="19"/>
      <c r="C79" s="19"/>
      <c r="D79" s="96"/>
      <c r="E79" s="96"/>
      <c r="F79" s="96"/>
      <c r="G79" s="96"/>
      <c r="H79" s="96"/>
      <c r="I79" s="96"/>
      <c r="J79" s="97"/>
      <c r="K79" s="153">
        <v>2</v>
      </c>
      <c r="L79" s="156">
        <f t="shared" ref="L79:L107" si="30">IF(K79&lt;=$B$14,IF($B$44=$D$76,0,IF($B$44=$D$77,($M$77*$B$45),IF($B$44=$D$78,M78*$B$45))),0)</f>
        <v>17500</v>
      </c>
      <c r="M79" s="151">
        <f t="shared" ref="M79:M107" si="31">IF(K79&lt;=$B$14,+M78-L79-IF(K79=$B$14,$B$15,0),0)</f>
        <v>165000</v>
      </c>
      <c r="N79" s="156">
        <f t="shared" ref="N79:N107" si="32">IF(K79&lt;=$C$14,IF($C$44=$D$76,0,IF($C$44=$D$77,($O$77*$C$45),IF($C$44=$D$78,O78*$C$45))),0)</f>
        <v>22999.999999999978</v>
      </c>
      <c r="O79" s="151">
        <f t="shared" ref="O79:O107" si="33">IF(K79&lt;=$C$14,+O78-N79-IF(K79=$C$14,$C$15,0),0)</f>
        <v>94000.000000000058</v>
      </c>
      <c r="P79" s="156">
        <f t="shared" si="29"/>
        <v>14583.333333333332</v>
      </c>
      <c r="Q79" s="148">
        <f t="shared" ref="Q79:Q107" si="34">IF(K79&lt;=$D$14,+Q78-P79-IF(K79=$D$14,$D$15,0),0)</f>
        <v>170833.33333333331</v>
      </c>
      <c r="R79" s="28"/>
      <c r="S79" s="28"/>
      <c r="T79" s="28"/>
      <c r="U79" s="28"/>
      <c r="V79" s="28"/>
      <c r="W79" s="28"/>
      <c r="X79" s="28"/>
      <c r="Y79" s="28"/>
    </row>
    <row r="80" spans="1:25" x14ac:dyDescent="0.25">
      <c r="A80" s="106"/>
      <c r="B80" s="40"/>
      <c r="C80" s="40"/>
      <c r="D80" s="101"/>
      <c r="E80" s="101"/>
      <c r="F80" s="101"/>
      <c r="G80" s="101"/>
      <c r="H80" s="101"/>
      <c r="I80" s="101"/>
      <c r="K80" s="153">
        <v>3</v>
      </c>
      <c r="L80" s="156">
        <f t="shared" si="30"/>
        <v>17500</v>
      </c>
      <c r="M80" s="151">
        <f t="shared" si="31"/>
        <v>147500</v>
      </c>
      <c r="N80" s="156">
        <f t="shared" si="32"/>
        <v>22999.999999999978</v>
      </c>
      <c r="O80" s="151">
        <f t="shared" si="33"/>
        <v>71000.000000000087</v>
      </c>
      <c r="P80" s="156">
        <f t="shared" si="29"/>
        <v>14583.333333333332</v>
      </c>
      <c r="Q80" s="148">
        <f t="shared" si="34"/>
        <v>156249.99999999997</v>
      </c>
      <c r="R80" s="28"/>
      <c r="S80" s="28"/>
      <c r="T80" s="28"/>
      <c r="U80" s="28"/>
      <c r="V80" s="28"/>
      <c r="W80" s="28"/>
      <c r="X80" s="28"/>
      <c r="Y80" s="28"/>
    </row>
    <row r="81" spans="1:25" x14ac:dyDescent="0.25">
      <c r="A81" s="107"/>
      <c r="B81" s="47"/>
      <c r="C81" s="40"/>
      <c r="D81" s="101"/>
      <c r="E81" s="101"/>
      <c r="F81" s="101"/>
      <c r="G81" s="101"/>
      <c r="H81" s="101"/>
      <c r="I81" s="101"/>
      <c r="K81" s="153">
        <v>4</v>
      </c>
      <c r="L81" s="156">
        <f t="shared" si="30"/>
        <v>17500</v>
      </c>
      <c r="M81" s="151">
        <f t="shared" si="31"/>
        <v>130000</v>
      </c>
      <c r="N81" s="156">
        <f t="shared" si="32"/>
        <v>22999.999999999978</v>
      </c>
      <c r="O81" s="151">
        <f t="shared" si="33"/>
        <v>48000.000000000109</v>
      </c>
      <c r="P81" s="156">
        <f t="shared" si="29"/>
        <v>14583.333333333332</v>
      </c>
      <c r="Q81" s="148">
        <f t="shared" si="34"/>
        <v>141666.66666666663</v>
      </c>
      <c r="R81" s="28"/>
      <c r="S81" s="28"/>
      <c r="T81" s="28"/>
      <c r="U81" s="28"/>
      <c r="V81" s="28"/>
      <c r="W81" s="28"/>
      <c r="X81" s="28"/>
      <c r="Y81" s="28"/>
    </row>
    <row r="82" spans="1:25" x14ac:dyDescent="0.25">
      <c r="A82" s="107"/>
      <c r="B82" s="101"/>
      <c r="C82" s="40"/>
      <c r="D82" s="101"/>
      <c r="E82" s="101"/>
      <c r="F82" s="101"/>
      <c r="G82" s="101"/>
      <c r="H82" s="101"/>
      <c r="I82" s="101"/>
      <c r="K82" s="153">
        <v>5</v>
      </c>
      <c r="L82" s="156">
        <f t="shared" si="30"/>
        <v>17500</v>
      </c>
      <c r="M82" s="151">
        <f t="shared" si="31"/>
        <v>112500</v>
      </c>
      <c r="N82" s="156">
        <f t="shared" si="32"/>
        <v>22999.999999999978</v>
      </c>
      <c r="O82" s="151">
        <f t="shared" si="33"/>
        <v>1.3096723705530167E-10</v>
      </c>
      <c r="P82" s="156">
        <f t="shared" si="29"/>
        <v>14583.333333333332</v>
      </c>
      <c r="Q82" s="148">
        <f t="shared" si="34"/>
        <v>127083.3333333333</v>
      </c>
      <c r="R82" s="28"/>
      <c r="S82" s="28"/>
      <c r="T82" s="28"/>
      <c r="U82" s="28"/>
      <c r="V82" s="28"/>
      <c r="W82" s="28"/>
      <c r="X82" s="28"/>
      <c r="Y82" s="28"/>
    </row>
    <row r="83" spans="1:25" x14ac:dyDescent="0.25">
      <c r="A83" s="87"/>
      <c r="B83" s="101"/>
      <c r="C83" s="40"/>
      <c r="D83" s="101"/>
      <c r="E83" s="101"/>
      <c r="F83" s="101"/>
      <c r="G83" s="101"/>
      <c r="H83" s="101"/>
      <c r="I83" s="101"/>
      <c r="K83" s="153">
        <v>6</v>
      </c>
      <c r="L83" s="156">
        <f t="shared" si="30"/>
        <v>17500</v>
      </c>
      <c r="M83" s="151">
        <f t="shared" si="31"/>
        <v>95000</v>
      </c>
      <c r="N83" s="156">
        <f t="shared" si="32"/>
        <v>0</v>
      </c>
      <c r="O83" s="151">
        <f t="shared" si="33"/>
        <v>0</v>
      </c>
      <c r="P83" s="156">
        <f t="shared" si="29"/>
        <v>14583.333333333332</v>
      </c>
      <c r="Q83" s="148">
        <f t="shared" si="34"/>
        <v>112499.99999999997</v>
      </c>
      <c r="R83" s="28"/>
      <c r="S83" s="28"/>
      <c r="T83" s="28"/>
      <c r="U83" s="28"/>
      <c r="V83" s="28"/>
      <c r="W83" s="28"/>
      <c r="X83" s="28"/>
      <c r="Y83" s="28"/>
    </row>
    <row r="84" spans="1:25" x14ac:dyDescent="0.25">
      <c r="A84" s="87"/>
      <c r="B84" s="101"/>
      <c r="C84" s="44"/>
      <c r="D84" s="101"/>
      <c r="E84" s="101"/>
      <c r="F84" s="101"/>
      <c r="G84" s="101"/>
      <c r="H84" s="101"/>
      <c r="I84" s="101"/>
      <c r="K84" s="153">
        <v>7</v>
      </c>
      <c r="L84" s="156">
        <f t="shared" si="30"/>
        <v>17500</v>
      </c>
      <c r="M84" s="151">
        <f t="shared" si="31"/>
        <v>77500</v>
      </c>
      <c r="N84" s="156">
        <f t="shared" si="32"/>
        <v>0</v>
      </c>
      <c r="O84" s="151">
        <f t="shared" si="33"/>
        <v>0</v>
      </c>
      <c r="P84" s="156">
        <f t="shared" si="29"/>
        <v>14583.333333333332</v>
      </c>
      <c r="Q84" s="148">
        <f t="shared" si="34"/>
        <v>97916.666666666642</v>
      </c>
      <c r="R84" s="28"/>
      <c r="S84" s="28"/>
      <c r="T84" s="28"/>
      <c r="U84" s="28"/>
      <c r="V84" s="28"/>
      <c r="W84" s="28"/>
      <c r="X84" s="28"/>
      <c r="Y84" s="28"/>
    </row>
    <row r="85" spans="1:25" x14ac:dyDescent="0.25">
      <c r="A85" s="26"/>
      <c r="B85" s="44"/>
      <c r="C85" s="44"/>
      <c r="D85" s="101"/>
      <c r="E85" s="101"/>
      <c r="F85" s="101"/>
      <c r="G85" s="101"/>
      <c r="H85" s="101"/>
      <c r="I85" s="101"/>
      <c r="K85" s="153">
        <v>8</v>
      </c>
      <c r="L85" s="156">
        <f t="shared" si="30"/>
        <v>17500</v>
      </c>
      <c r="M85" s="151">
        <f t="shared" si="31"/>
        <v>60000</v>
      </c>
      <c r="N85" s="156">
        <f t="shared" si="32"/>
        <v>0</v>
      </c>
      <c r="O85" s="151">
        <f t="shared" si="33"/>
        <v>0</v>
      </c>
      <c r="P85" s="156">
        <f t="shared" si="29"/>
        <v>14583.333333333332</v>
      </c>
      <c r="Q85" s="148">
        <f t="shared" si="34"/>
        <v>83333.333333333314</v>
      </c>
      <c r="R85" s="28"/>
      <c r="S85" s="28"/>
      <c r="T85" s="28"/>
      <c r="U85" s="28"/>
      <c r="V85" s="28"/>
      <c r="W85" s="28"/>
      <c r="X85" s="28"/>
      <c r="Y85" s="28"/>
    </row>
    <row r="86" spans="1:25" x14ac:dyDescent="0.25">
      <c r="A86" s="26"/>
      <c r="B86" s="46"/>
      <c r="C86" s="46"/>
      <c r="D86" s="101"/>
      <c r="E86" s="101"/>
      <c r="F86" s="101"/>
      <c r="G86" s="101"/>
      <c r="H86" s="101"/>
      <c r="I86" s="101"/>
      <c r="K86" s="153">
        <v>9</v>
      </c>
      <c r="L86" s="156">
        <f t="shared" si="30"/>
        <v>17500</v>
      </c>
      <c r="M86" s="151">
        <f>IF(K86&lt;=$B$14,+M85-L86-IF(K86=$B$14,$B$15,0),0)</f>
        <v>42500</v>
      </c>
      <c r="N86" s="156">
        <f t="shared" si="32"/>
        <v>0</v>
      </c>
      <c r="O86" s="151">
        <f t="shared" si="33"/>
        <v>0</v>
      </c>
      <c r="P86" s="156">
        <f t="shared" si="29"/>
        <v>14583.333333333332</v>
      </c>
      <c r="Q86" s="148">
        <f t="shared" si="34"/>
        <v>68749.999999999985</v>
      </c>
      <c r="R86" s="28"/>
      <c r="S86" s="28"/>
      <c r="T86" s="28"/>
      <c r="U86" s="28"/>
      <c r="V86" s="28"/>
      <c r="W86" s="28"/>
      <c r="X86" s="28"/>
      <c r="Y86" s="28"/>
    </row>
    <row r="87" spans="1:25" x14ac:dyDescent="0.25">
      <c r="A87" s="44"/>
      <c r="B87" s="96"/>
      <c r="C87" s="76"/>
      <c r="D87" s="101"/>
      <c r="E87" s="101"/>
      <c r="F87" s="101"/>
      <c r="G87" s="101"/>
      <c r="H87" s="101"/>
      <c r="I87" s="101"/>
      <c r="K87" s="153">
        <v>10</v>
      </c>
      <c r="L87" s="156">
        <f t="shared" si="30"/>
        <v>17500</v>
      </c>
      <c r="M87" s="151">
        <f>IF(K87&lt;=$B$14,+M86-L87-IF(K87=$B$14,$B$15,0),0)</f>
        <v>0</v>
      </c>
      <c r="N87" s="156">
        <f t="shared" si="32"/>
        <v>0</v>
      </c>
      <c r="O87" s="151">
        <f t="shared" si="33"/>
        <v>0</v>
      </c>
      <c r="P87" s="156">
        <f>IF(K87&lt;=$D$14,IF($D$44=$D$76,0,IF($D$44=$D$77,($Q$77*$D$45),IF($D$44=$D$78,Q86*$D$45))),0)</f>
        <v>14583.333333333332</v>
      </c>
      <c r="Q87" s="148">
        <f>IF(K87&lt;=$D$14,+Q86-P87-IF(K87=$D$14,$D$15,0),0)</f>
        <v>54166.666666666657</v>
      </c>
      <c r="R87" s="28"/>
      <c r="S87" s="28"/>
      <c r="T87" s="28"/>
      <c r="U87" s="28"/>
      <c r="V87" s="28"/>
      <c r="W87" s="28"/>
      <c r="X87" s="28"/>
      <c r="Y87" s="28"/>
    </row>
    <row r="88" spans="1:25" x14ac:dyDescent="0.25">
      <c r="A88" s="44"/>
      <c r="B88" s="108"/>
      <c r="C88" s="76"/>
      <c r="D88" s="109"/>
      <c r="E88" s="110"/>
      <c r="F88" s="111"/>
      <c r="G88" s="111"/>
      <c r="H88" s="101"/>
      <c r="I88" s="101"/>
      <c r="K88" s="153">
        <v>11</v>
      </c>
      <c r="L88" s="156">
        <f t="shared" si="30"/>
        <v>0</v>
      </c>
      <c r="M88" s="151">
        <f t="shared" si="31"/>
        <v>0</v>
      </c>
      <c r="N88" s="156">
        <f t="shared" si="32"/>
        <v>0</v>
      </c>
      <c r="O88" s="151">
        <f t="shared" si="33"/>
        <v>0</v>
      </c>
      <c r="P88" s="156">
        <f t="shared" ref="P88:P107" si="35">IF(K88&lt;=$D$14,IF($D$44=$D$76,0,IF($D$44=$D$77,($Q$77*$D$45),IF($D$44=$D$78,Q87*$D$45))),0)</f>
        <v>14583.333333333332</v>
      </c>
      <c r="Q88" s="148">
        <f>IF(K88&lt;=$D$14,+Q87-P88-IF(K88=$D$14,$D$15,0),0)</f>
        <v>39583.333333333328</v>
      </c>
      <c r="R88" s="28"/>
      <c r="S88" s="28"/>
      <c r="T88" s="28"/>
      <c r="U88" s="28"/>
      <c r="V88" s="28"/>
      <c r="W88" s="28"/>
      <c r="X88" s="28"/>
      <c r="Y88" s="28"/>
    </row>
    <row r="89" spans="1:25" x14ac:dyDescent="0.25">
      <c r="A89" s="101"/>
      <c r="B89" s="101"/>
      <c r="C89" s="101"/>
      <c r="D89" s="44"/>
      <c r="E89" s="112"/>
      <c r="F89" s="101"/>
      <c r="G89" s="101"/>
      <c r="H89" s="101"/>
      <c r="I89" s="101"/>
      <c r="K89" s="153">
        <v>12</v>
      </c>
      <c r="L89" s="156">
        <f t="shared" si="30"/>
        <v>0</v>
      </c>
      <c r="M89" s="151">
        <f t="shared" si="31"/>
        <v>0</v>
      </c>
      <c r="N89" s="156">
        <f t="shared" si="32"/>
        <v>0</v>
      </c>
      <c r="O89" s="151">
        <f t="shared" si="33"/>
        <v>0</v>
      </c>
      <c r="P89" s="156">
        <f t="shared" si="35"/>
        <v>14583.333333333332</v>
      </c>
      <c r="Q89" s="148">
        <f t="shared" si="34"/>
        <v>-3.637978807091713E-12</v>
      </c>
      <c r="R89" s="28"/>
      <c r="S89" s="28"/>
      <c r="T89" s="28"/>
      <c r="U89" s="28"/>
      <c r="V89" s="28"/>
      <c r="W89" s="28"/>
      <c r="X89" s="28"/>
      <c r="Y89" s="28"/>
    </row>
    <row r="90" spans="1:25" x14ac:dyDescent="0.25">
      <c r="A90" s="101"/>
      <c r="B90" s="101"/>
      <c r="C90" s="101"/>
      <c r="D90" s="101"/>
      <c r="E90" s="101"/>
      <c r="F90" s="101"/>
      <c r="G90" s="101"/>
      <c r="H90" s="101"/>
      <c r="I90" s="101"/>
      <c r="K90" s="153">
        <v>13</v>
      </c>
      <c r="L90" s="156">
        <f t="shared" si="30"/>
        <v>0</v>
      </c>
      <c r="M90" s="151">
        <f t="shared" si="31"/>
        <v>0</v>
      </c>
      <c r="N90" s="156">
        <f t="shared" si="32"/>
        <v>0</v>
      </c>
      <c r="O90" s="151">
        <f t="shared" si="33"/>
        <v>0</v>
      </c>
      <c r="P90" s="156">
        <f t="shared" si="35"/>
        <v>0</v>
      </c>
      <c r="Q90" s="148">
        <f t="shared" si="34"/>
        <v>0</v>
      </c>
      <c r="R90" s="28"/>
      <c r="S90" s="28"/>
      <c r="T90" s="28"/>
      <c r="U90" s="28"/>
      <c r="V90" s="28"/>
      <c r="W90" s="28"/>
      <c r="X90" s="28"/>
      <c r="Y90" s="28"/>
    </row>
    <row r="91" spans="1:25" x14ac:dyDescent="0.25">
      <c r="A91" s="101"/>
      <c r="B91" s="101"/>
      <c r="C91" s="101"/>
      <c r="D91" s="101"/>
      <c r="E91" s="101"/>
      <c r="F91" s="101"/>
      <c r="G91" s="101"/>
      <c r="H91" s="101"/>
      <c r="I91" s="101"/>
      <c r="K91" s="153">
        <v>14</v>
      </c>
      <c r="L91" s="156">
        <f t="shared" si="30"/>
        <v>0</v>
      </c>
      <c r="M91" s="151">
        <f t="shared" si="31"/>
        <v>0</v>
      </c>
      <c r="N91" s="156">
        <f t="shared" si="32"/>
        <v>0</v>
      </c>
      <c r="O91" s="151">
        <f t="shared" si="33"/>
        <v>0</v>
      </c>
      <c r="P91" s="156">
        <f t="shared" si="35"/>
        <v>0</v>
      </c>
      <c r="Q91" s="148">
        <f t="shared" si="34"/>
        <v>0</v>
      </c>
      <c r="R91" s="28"/>
      <c r="S91" s="28"/>
      <c r="T91" s="28"/>
      <c r="U91" s="28"/>
      <c r="V91" s="28"/>
      <c r="W91" s="28"/>
      <c r="X91" s="28"/>
      <c r="Y91" s="28"/>
    </row>
    <row r="92" spans="1:25" x14ac:dyDescent="0.25">
      <c r="A92" s="101"/>
      <c r="B92" s="101"/>
      <c r="C92" s="113"/>
      <c r="D92" s="109"/>
      <c r="E92" s="109"/>
      <c r="F92" s="113"/>
      <c r="G92" s="114"/>
      <c r="H92" s="115"/>
      <c r="I92" s="109"/>
      <c r="K92" s="153">
        <v>15</v>
      </c>
      <c r="L92" s="156">
        <f t="shared" si="30"/>
        <v>0</v>
      </c>
      <c r="M92" s="151">
        <f t="shared" si="31"/>
        <v>0</v>
      </c>
      <c r="N92" s="156">
        <f t="shared" si="32"/>
        <v>0</v>
      </c>
      <c r="O92" s="151">
        <f t="shared" si="33"/>
        <v>0</v>
      </c>
      <c r="P92" s="156">
        <f t="shared" si="35"/>
        <v>0</v>
      </c>
      <c r="Q92" s="148">
        <f t="shared" si="34"/>
        <v>0</v>
      </c>
      <c r="R92" s="28"/>
      <c r="S92" s="28"/>
      <c r="T92" s="28"/>
      <c r="U92" s="28"/>
      <c r="V92" s="28"/>
      <c r="W92" s="28"/>
      <c r="X92" s="28"/>
      <c r="Y92" s="28"/>
    </row>
    <row r="93" spans="1:25" x14ac:dyDescent="0.25">
      <c r="A93" s="101"/>
      <c r="B93" s="101"/>
      <c r="C93" s="113"/>
      <c r="D93" s="109"/>
      <c r="E93" s="109"/>
      <c r="F93" s="113"/>
      <c r="G93" s="114"/>
      <c r="H93" s="115"/>
      <c r="I93" s="109"/>
      <c r="K93" s="153">
        <v>16</v>
      </c>
      <c r="L93" s="156">
        <f t="shared" si="30"/>
        <v>0</v>
      </c>
      <c r="M93" s="151">
        <f t="shared" si="31"/>
        <v>0</v>
      </c>
      <c r="N93" s="156">
        <f t="shared" si="32"/>
        <v>0</v>
      </c>
      <c r="O93" s="151">
        <f t="shared" si="33"/>
        <v>0</v>
      </c>
      <c r="P93" s="156">
        <f t="shared" si="35"/>
        <v>0</v>
      </c>
      <c r="Q93" s="148">
        <f t="shared" si="34"/>
        <v>0</v>
      </c>
      <c r="R93" s="28"/>
      <c r="S93" s="28"/>
      <c r="T93" s="28"/>
      <c r="U93" s="28"/>
      <c r="V93" s="28"/>
      <c r="W93" s="28"/>
      <c r="X93" s="28"/>
      <c r="Y93" s="28"/>
    </row>
    <row r="94" spans="1:25" x14ac:dyDescent="0.25">
      <c r="A94" s="101"/>
      <c r="B94" s="101"/>
      <c r="C94" s="113"/>
      <c r="D94" s="109"/>
      <c r="E94" s="109"/>
      <c r="F94" s="113"/>
      <c r="G94" s="114"/>
      <c r="H94" s="115"/>
      <c r="I94" s="109"/>
      <c r="K94" s="153">
        <v>17</v>
      </c>
      <c r="L94" s="156">
        <f t="shared" si="30"/>
        <v>0</v>
      </c>
      <c r="M94" s="151">
        <f t="shared" si="31"/>
        <v>0</v>
      </c>
      <c r="N94" s="156">
        <f t="shared" si="32"/>
        <v>0</v>
      </c>
      <c r="O94" s="151">
        <f t="shared" si="33"/>
        <v>0</v>
      </c>
      <c r="P94" s="156">
        <f t="shared" si="35"/>
        <v>0</v>
      </c>
      <c r="Q94" s="148">
        <f t="shared" si="34"/>
        <v>0</v>
      </c>
      <c r="R94" s="28"/>
      <c r="S94" s="28"/>
      <c r="T94" s="28"/>
      <c r="U94" s="28"/>
      <c r="V94" s="28"/>
      <c r="W94" s="28"/>
      <c r="X94" s="28"/>
      <c r="Y94" s="28"/>
    </row>
    <row r="95" spans="1:25" x14ac:dyDescent="0.25">
      <c r="A95" s="101"/>
      <c r="B95" s="101"/>
      <c r="C95" s="113"/>
      <c r="D95" s="109"/>
      <c r="E95" s="109"/>
      <c r="F95" s="113"/>
      <c r="G95" s="114"/>
      <c r="H95" s="115"/>
      <c r="I95" s="109"/>
      <c r="K95" s="153">
        <v>18</v>
      </c>
      <c r="L95" s="156">
        <f t="shared" si="30"/>
        <v>0</v>
      </c>
      <c r="M95" s="151">
        <f t="shared" si="31"/>
        <v>0</v>
      </c>
      <c r="N95" s="156">
        <f t="shared" si="32"/>
        <v>0</v>
      </c>
      <c r="O95" s="151">
        <f t="shared" si="33"/>
        <v>0</v>
      </c>
      <c r="P95" s="156">
        <f t="shared" si="35"/>
        <v>0</v>
      </c>
      <c r="Q95" s="148">
        <f t="shared" si="34"/>
        <v>0</v>
      </c>
      <c r="R95" s="28"/>
      <c r="S95" s="28"/>
      <c r="T95" s="28"/>
      <c r="U95" s="28"/>
      <c r="V95" s="28"/>
      <c r="W95" s="28"/>
      <c r="X95" s="28"/>
      <c r="Y95" s="28"/>
    </row>
    <row r="96" spans="1:25" x14ac:dyDescent="0.25">
      <c r="A96" s="101"/>
      <c r="B96" s="101"/>
      <c r="C96" s="113"/>
      <c r="D96" s="109"/>
      <c r="E96" s="109"/>
      <c r="F96" s="113"/>
      <c r="G96" s="114"/>
      <c r="H96" s="115"/>
      <c r="I96" s="109"/>
      <c r="K96" s="153">
        <v>19</v>
      </c>
      <c r="L96" s="156">
        <f t="shared" si="30"/>
        <v>0</v>
      </c>
      <c r="M96" s="151">
        <f t="shared" si="31"/>
        <v>0</v>
      </c>
      <c r="N96" s="156">
        <f t="shared" si="32"/>
        <v>0</v>
      </c>
      <c r="O96" s="151">
        <f t="shared" si="33"/>
        <v>0</v>
      </c>
      <c r="P96" s="156">
        <f t="shared" si="35"/>
        <v>0</v>
      </c>
      <c r="Q96" s="148">
        <f t="shared" si="34"/>
        <v>0</v>
      </c>
      <c r="R96" s="28"/>
      <c r="S96" s="28"/>
      <c r="T96" s="28"/>
      <c r="U96" s="28"/>
      <c r="V96" s="28"/>
      <c r="W96" s="28"/>
      <c r="X96" s="28"/>
      <c r="Y96" s="28"/>
    </row>
    <row r="97" spans="1:25" x14ac:dyDescent="0.25">
      <c r="A97" s="101"/>
      <c r="B97" s="101"/>
      <c r="C97" s="113"/>
      <c r="D97" s="109"/>
      <c r="E97" s="109"/>
      <c r="F97" s="113"/>
      <c r="G97" s="114"/>
      <c r="H97" s="115"/>
      <c r="I97" s="109"/>
      <c r="K97" s="153">
        <v>20</v>
      </c>
      <c r="L97" s="156">
        <f t="shared" si="30"/>
        <v>0</v>
      </c>
      <c r="M97" s="151">
        <f t="shared" si="31"/>
        <v>0</v>
      </c>
      <c r="N97" s="156">
        <f t="shared" si="32"/>
        <v>0</v>
      </c>
      <c r="O97" s="151">
        <f t="shared" si="33"/>
        <v>0</v>
      </c>
      <c r="P97" s="156">
        <f t="shared" si="35"/>
        <v>0</v>
      </c>
      <c r="Q97" s="148">
        <f t="shared" si="34"/>
        <v>0</v>
      </c>
      <c r="R97" s="28"/>
      <c r="S97" s="28"/>
      <c r="T97" s="28"/>
      <c r="U97" s="28"/>
      <c r="V97" s="28"/>
      <c r="W97" s="28"/>
      <c r="X97" s="28"/>
      <c r="Y97" s="28"/>
    </row>
    <row r="98" spans="1:25" x14ac:dyDescent="0.25">
      <c r="A98" s="101"/>
      <c r="B98" s="101"/>
      <c r="C98" s="113"/>
      <c r="D98" s="101"/>
      <c r="E98" s="109"/>
      <c r="F98" s="113"/>
      <c r="G98" s="101"/>
      <c r="H98" s="115"/>
      <c r="I98" s="109"/>
      <c r="K98" s="153">
        <v>21</v>
      </c>
      <c r="L98" s="156">
        <f t="shared" si="30"/>
        <v>0</v>
      </c>
      <c r="M98" s="151">
        <f t="shared" si="31"/>
        <v>0</v>
      </c>
      <c r="N98" s="156">
        <f t="shared" si="32"/>
        <v>0</v>
      </c>
      <c r="O98" s="151">
        <f t="shared" si="33"/>
        <v>0</v>
      </c>
      <c r="P98" s="156">
        <f t="shared" si="35"/>
        <v>0</v>
      </c>
      <c r="Q98" s="148">
        <f t="shared" si="34"/>
        <v>0</v>
      </c>
      <c r="R98" s="28"/>
      <c r="S98" s="28"/>
      <c r="T98" s="28"/>
      <c r="U98" s="28"/>
      <c r="V98" s="28"/>
      <c r="W98" s="28"/>
      <c r="X98" s="28"/>
      <c r="Y98" s="28"/>
    </row>
    <row r="99" spans="1:25" x14ac:dyDescent="0.25">
      <c r="A99" s="101"/>
      <c r="B99" s="101"/>
      <c r="C99" s="113"/>
      <c r="D99" s="101"/>
      <c r="E99" s="109"/>
      <c r="F99" s="113"/>
      <c r="G99" s="101"/>
      <c r="H99" s="115"/>
      <c r="I99" s="109"/>
      <c r="K99" s="153">
        <v>22</v>
      </c>
      <c r="L99" s="156">
        <f t="shared" si="30"/>
        <v>0</v>
      </c>
      <c r="M99" s="151">
        <f t="shared" si="31"/>
        <v>0</v>
      </c>
      <c r="N99" s="156">
        <f t="shared" si="32"/>
        <v>0</v>
      </c>
      <c r="O99" s="151">
        <f t="shared" si="33"/>
        <v>0</v>
      </c>
      <c r="P99" s="156">
        <f t="shared" si="35"/>
        <v>0</v>
      </c>
      <c r="Q99" s="148">
        <f t="shared" si="34"/>
        <v>0</v>
      </c>
      <c r="R99" s="28"/>
      <c r="S99" s="28"/>
      <c r="T99" s="28"/>
      <c r="U99" s="28"/>
      <c r="V99" s="28"/>
      <c r="W99" s="28"/>
      <c r="X99" s="28"/>
      <c r="Y99" s="28"/>
    </row>
    <row r="100" spans="1:25" x14ac:dyDescent="0.25">
      <c r="A100" s="101"/>
      <c r="B100" s="101"/>
      <c r="C100" s="113"/>
      <c r="D100" s="101"/>
      <c r="E100" s="109"/>
      <c r="F100" s="113"/>
      <c r="G100" s="101"/>
      <c r="H100" s="115"/>
      <c r="I100" s="109"/>
      <c r="K100" s="153">
        <v>23</v>
      </c>
      <c r="L100" s="156">
        <f t="shared" si="30"/>
        <v>0</v>
      </c>
      <c r="M100" s="151">
        <f t="shared" si="31"/>
        <v>0</v>
      </c>
      <c r="N100" s="156">
        <f t="shared" si="32"/>
        <v>0</v>
      </c>
      <c r="O100" s="151">
        <f t="shared" si="33"/>
        <v>0</v>
      </c>
      <c r="P100" s="156">
        <f t="shared" si="35"/>
        <v>0</v>
      </c>
      <c r="Q100" s="148">
        <f t="shared" si="34"/>
        <v>0</v>
      </c>
      <c r="R100" s="28"/>
      <c r="S100" s="28"/>
      <c r="T100" s="28"/>
      <c r="U100" s="28"/>
      <c r="V100" s="28"/>
      <c r="W100" s="28"/>
      <c r="X100" s="28"/>
      <c r="Y100" s="28"/>
    </row>
    <row r="101" spans="1:25" x14ac:dyDescent="0.25">
      <c r="A101" s="101"/>
      <c r="B101" s="101"/>
      <c r="C101" s="113"/>
      <c r="D101" s="101"/>
      <c r="E101" s="109"/>
      <c r="F101" s="113"/>
      <c r="G101" s="101"/>
      <c r="H101" s="115"/>
      <c r="I101" s="109"/>
      <c r="K101" s="153">
        <v>24</v>
      </c>
      <c r="L101" s="156">
        <f t="shared" si="30"/>
        <v>0</v>
      </c>
      <c r="M101" s="151">
        <f t="shared" si="31"/>
        <v>0</v>
      </c>
      <c r="N101" s="156">
        <f t="shared" si="32"/>
        <v>0</v>
      </c>
      <c r="O101" s="151">
        <f t="shared" si="33"/>
        <v>0</v>
      </c>
      <c r="P101" s="156">
        <f t="shared" si="35"/>
        <v>0</v>
      </c>
      <c r="Q101" s="148">
        <f t="shared" si="34"/>
        <v>0</v>
      </c>
      <c r="R101" s="28"/>
      <c r="S101" s="28"/>
      <c r="T101" s="28"/>
      <c r="U101" s="28"/>
      <c r="V101" s="28"/>
      <c r="W101" s="28"/>
      <c r="X101" s="28"/>
      <c r="Y101" s="28"/>
    </row>
    <row r="102" spans="1:25" x14ac:dyDescent="0.25">
      <c r="A102" s="101"/>
      <c r="B102" s="101"/>
      <c r="C102" s="101"/>
      <c r="D102" s="101"/>
      <c r="E102" s="101"/>
      <c r="F102" s="101"/>
      <c r="G102" s="101"/>
      <c r="H102" s="115"/>
      <c r="I102" s="109"/>
      <c r="K102" s="153">
        <v>25</v>
      </c>
      <c r="L102" s="156">
        <f t="shared" si="30"/>
        <v>0</v>
      </c>
      <c r="M102" s="151">
        <f t="shared" si="31"/>
        <v>0</v>
      </c>
      <c r="N102" s="156">
        <f t="shared" si="32"/>
        <v>0</v>
      </c>
      <c r="O102" s="151">
        <f t="shared" si="33"/>
        <v>0</v>
      </c>
      <c r="P102" s="156">
        <f t="shared" si="35"/>
        <v>0</v>
      </c>
      <c r="Q102" s="148">
        <f t="shared" si="34"/>
        <v>0</v>
      </c>
      <c r="R102" s="28"/>
      <c r="S102" s="28"/>
      <c r="T102" s="28"/>
      <c r="U102" s="28"/>
      <c r="V102" s="28"/>
      <c r="W102" s="28"/>
      <c r="X102" s="28"/>
      <c r="Y102" s="28"/>
    </row>
    <row r="103" spans="1:25" x14ac:dyDescent="0.25">
      <c r="A103" s="101"/>
      <c r="B103" s="101"/>
      <c r="C103" s="109"/>
      <c r="D103" s="101"/>
      <c r="E103" s="101"/>
      <c r="F103" s="101"/>
      <c r="G103" s="101"/>
      <c r="H103" s="115"/>
      <c r="I103" s="109"/>
      <c r="K103" s="153">
        <v>26</v>
      </c>
      <c r="L103" s="156">
        <f t="shared" si="30"/>
        <v>0</v>
      </c>
      <c r="M103" s="151">
        <f t="shared" si="31"/>
        <v>0</v>
      </c>
      <c r="N103" s="156">
        <f t="shared" si="32"/>
        <v>0</v>
      </c>
      <c r="O103" s="151">
        <f t="shared" si="33"/>
        <v>0</v>
      </c>
      <c r="P103" s="156">
        <f t="shared" si="35"/>
        <v>0</v>
      </c>
      <c r="Q103" s="148">
        <f t="shared" si="34"/>
        <v>0</v>
      </c>
      <c r="R103" s="28"/>
      <c r="S103" s="28"/>
      <c r="T103" s="28"/>
      <c r="U103" s="28"/>
      <c r="V103" s="28"/>
      <c r="W103" s="28"/>
      <c r="X103" s="28"/>
      <c r="Y103" s="28"/>
    </row>
    <row r="104" spans="1:25" x14ac:dyDescent="0.25">
      <c r="A104" s="101"/>
      <c r="B104" s="101"/>
      <c r="C104" s="101"/>
      <c r="D104" s="101"/>
      <c r="E104" s="101"/>
      <c r="F104" s="101"/>
      <c r="G104" s="101"/>
      <c r="H104" s="101"/>
      <c r="I104" s="109"/>
      <c r="K104" s="153">
        <v>27</v>
      </c>
      <c r="L104" s="156">
        <f t="shared" si="30"/>
        <v>0</v>
      </c>
      <c r="M104" s="151">
        <f t="shared" si="31"/>
        <v>0</v>
      </c>
      <c r="N104" s="156">
        <f t="shared" si="32"/>
        <v>0</v>
      </c>
      <c r="O104" s="151">
        <f t="shared" si="33"/>
        <v>0</v>
      </c>
      <c r="P104" s="156">
        <f t="shared" si="35"/>
        <v>0</v>
      </c>
      <c r="Q104" s="148">
        <f t="shared" si="34"/>
        <v>0</v>
      </c>
      <c r="R104" s="28"/>
      <c r="S104" s="28"/>
      <c r="T104" s="28"/>
      <c r="U104" s="28"/>
      <c r="V104" s="28"/>
      <c r="W104" s="28"/>
      <c r="X104" s="28"/>
      <c r="Y104" s="28"/>
    </row>
    <row r="105" spans="1:25" x14ac:dyDescent="0.25">
      <c r="A105" s="101"/>
      <c r="B105" s="101"/>
      <c r="C105" s="109"/>
      <c r="D105" s="101"/>
      <c r="E105" s="101"/>
      <c r="F105" s="101"/>
      <c r="G105" s="101"/>
      <c r="H105" s="101"/>
      <c r="I105" s="109"/>
      <c r="K105" s="153">
        <v>28</v>
      </c>
      <c r="L105" s="156">
        <f t="shared" si="30"/>
        <v>0</v>
      </c>
      <c r="M105" s="151">
        <f t="shared" si="31"/>
        <v>0</v>
      </c>
      <c r="N105" s="156">
        <f t="shared" si="32"/>
        <v>0</v>
      </c>
      <c r="O105" s="151">
        <f t="shared" si="33"/>
        <v>0</v>
      </c>
      <c r="P105" s="156">
        <f t="shared" si="35"/>
        <v>0</v>
      </c>
      <c r="Q105" s="148">
        <f t="shared" si="34"/>
        <v>0</v>
      </c>
      <c r="R105" s="28"/>
      <c r="S105" s="28"/>
      <c r="T105" s="28"/>
      <c r="U105" s="28"/>
      <c r="V105" s="28"/>
      <c r="W105" s="28"/>
      <c r="X105" s="28"/>
      <c r="Y105" s="28"/>
    </row>
    <row r="106" spans="1:25" x14ac:dyDescent="0.25">
      <c r="A106" s="101"/>
      <c r="B106" s="101"/>
      <c r="C106" s="101"/>
      <c r="D106" s="101"/>
      <c r="E106" s="101"/>
      <c r="F106" s="101"/>
      <c r="G106" s="101"/>
      <c r="H106" s="101"/>
      <c r="I106" s="109"/>
      <c r="K106" s="153">
        <v>29</v>
      </c>
      <c r="L106" s="156">
        <f t="shared" si="30"/>
        <v>0</v>
      </c>
      <c r="M106" s="151">
        <f t="shared" si="31"/>
        <v>0</v>
      </c>
      <c r="N106" s="156">
        <f t="shared" si="32"/>
        <v>0</v>
      </c>
      <c r="O106" s="151">
        <f t="shared" si="33"/>
        <v>0</v>
      </c>
      <c r="P106" s="156">
        <f t="shared" si="35"/>
        <v>0</v>
      </c>
      <c r="Q106" s="148">
        <f t="shared" si="34"/>
        <v>0</v>
      </c>
      <c r="R106" s="28"/>
      <c r="S106" s="28"/>
      <c r="T106" s="28"/>
      <c r="U106" s="28"/>
      <c r="V106" s="28"/>
      <c r="W106" s="28"/>
      <c r="X106" s="28"/>
      <c r="Y106" s="28"/>
    </row>
    <row r="107" spans="1:25" ht="15.75" thickBot="1" x14ac:dyDescent="0.3">
      <c r="A107" s="101"/>
      <c r="B107" s="101"/>
      <c r="C107" s="101"/>
      <c r="D107" s="101"/>
      <c r="E107" s="116"/>
      <c r="F107" s="101"/>
      <c r="G107" s="101"/>
      <c r="H107" s="101"/>
      <c r="I107" s="101"/>
      <c r="K107" s="158">
        <v>30</v>
      </c>
      <c r="L107" s="161">
        <f t="shared" si="30"/>
        <v>0</v>
      </c>
      <c r="M107" s="162">
        <f t="shared" si="31"/>
        <v>0</v>
      </c>
      <c r="N107" s="161">
        <f t="shared" si="32"/>
        <v>0</v>
      </c>
      <c r="O107" s="162">
        <f t="shared" si="33"/>
        <v>0</v>
      </c>
      <c r="P107" s="161">
        <f t="shared" si="35"/>
        <v>0</v>
      </c>
      <c r="Q107" s="163">
        <f t="shared" si="34"/>
        <v>0</v>
      </c>
      <c r="R107" s="28"/>
      <c r="S107" s="28"/>
      <c r="T107" s="28"/>
      <c r="U107" s="28"/>
      <c r="V107" s="28"/>
      <c r="W107" s="28"/>
      <c r="X107" s="28"/>
      <c r="Y107" s="28"/>
    </row>
    <row r="108" spans="1:25" x14ac:dyDescent="0.25">
      <c r="A108" s="101"/>
      <c r="B108" s="96"/>
      <c r="C108" s="76"/>
      <c r="D108" s="101"/>
      <c r="E108" s="101"/>
      <c r="F108" s="101"/>
      <c r="G108" s="101"/>
      <c r="H108" s="101"/>
      <c r="I108" s="101"/>
    </row>
    <row r="109" spans="1:25" x14ac:dyDescent="0.25">
      <c r="A109" s="101"/>
      <c r="B109" s="108"/>
      <c r="C109" s="76"/>
      <c r="D109" s="109"/>
      <c r="E109" s="110"/>
      <c r="F109" s="111"/>
      <c r="G109" s="111"/>
      <c r="H109" s="101"/>
      <c r="I109" s="101"/>
    </row>
    <row r="110" spans="1:25" x14ac:dyDescent="0.25">
      <c r="A110" s="101"/>
      <c r="B110" s="101"/>
      <c r="C110" s="101"/>
      <c r="D110" s="101"/>
      <c r="E110" s="101"/>
      <c r="F110" s="101"/>
      <c r="G110" s="101"/>
      <c r="H110" s="101"/>
      <c r="I110" s="101"/>
      <c r="S110" s="117">
        <v>0.11</v>
      </c>
    </row>
    <row r="111" spans="1:25" x14ac:dyDescent="0.25">
      <c r="A111" s="101"/>
      <c r="B111" s="101"/>
      <c r="C111" s="101"/>
      <c r="D111" s="101"/>
      <c r="E111" s="101"/>
      <c r="F111" s="101"/>
      <c r="G111" s="101"/>
      <c r="H111" s="101"/>
      <c r="I111" s="101"/>
      <c r="S111" s="17">
        <v>1</v>
      </c>
      <c r="T111" s="17">
        <v>2</v>
      </c>
      <c r="U111" s="17">
        <v>3</v>
      </c>
      <c r="V111" s="17">
        <v>4</v>
      </c>
      <c r="W111" s="17">
        <v>5</v>
      </c>
    </row>
    <row r="112" spans="1:25" x14ac:dyDescent="0.25">
      <c r="A112" s="101"/>
      <c r="B112" s="101"/>
      <c r="C112" s="101"/>
      <c r="D112" s="101"/>
      <c r="E112" s="101"/>
      <c r="F112" s="113"/>
      <c r="G112" s="101"/>
      <c r="H112" s="101"/>
      <c r="I112" s="113"/>
      <c r="Q112" s="118">
        <v>-1000000</v>
      </c>
      <c r="S112" s="118">
        <v>267500</v>
      </c>
      <c r="T112" s="118">
        <v>301250</v>
      </c>
      <c r="U112" s="118">
        <v>322188</v>
      </c>
      <c r="V112" s="118">
        <v>259141</v>
      </c>
      <c r="W112" s="118">
        <v>374922</v>
      </c>
    </row>
    <row r="113" spans="1:23" x14ac:dyDescent="0.25">
      <c r="A113" s="101"/>
      <c r="B113" s="101"/>
      <c r="C113" s="113"/>
      <c r="D113" s="109"/>
      <c r="E113" s="109"/>
      <c r="F113" s="113"/>
      <c r="G113" s="114"/>
      <c r="H113" s="115"/>
      <c r="I113" s="109"/>
      <c r="S113" s="118">
        <f>+S112*(1+$S$110)^-S111</f>
        <v>240990.99099099098</v>
      </c>
      <c r="T113" s="118">
        <f t="shared" ref="T113:W113" si="36">+T112*(1+$S$110)^-T111</f>
        <v>244501.25801477148</v>
      </c>
      <c r="U113" s="118">
        <f t="shared" si="36"/>
        <v>235581.08875859054</v>
      </c>
      <c r="V113" s="118">
        <f t="shared" si="36"/>
        <v>170704.2033709095</v>
      </c>
      <c r="W113" s="118">
        <f t="shared" si="36"/>
        <v>222497.95881837091</v>
      </c>
    </row>
    <row r="114" spans="1:23" x14ac:dyDescent="0.25">
      <c r="A114" s="101"/>
      <c r="B114" s="101"/>
      <c r="C114" s="113"/>
      <c r="D114" s="109"/>
      <c r="E114" s="109"/>
      <c r="F114" s="113"/>
      <c r="G114" s="114"/>
      <c r="H114" s="115"/>
      <c r="I114" s="109"/>
      <c r="S114" s="62">
        <f>+Q112+S112</f>
        <v>-732500</v>
      </c>
      <c r="T114" s="62">
        <f>+S114+T112</f>
        <v>-431250</v>
      </c>
      <c r="U114" s="62">
        <f t="shared" ref="U114:W114" si="37">+T114+U112</f>
        <v>-109062</v>
      </c>
      <c r="V114" s="62">
        <f t="shared" si="37"/>
        <v>150079</v>
      </c>
      <c r="W114" s="62">
        <f t="shared" si="37"/>
        <v>525001</v>
      </c>
    </row>
    <row r="115" spans="1:23" x14ac:dyDescent="0.25">
      <c r="A115" s="101"/>
      <c r="B115" s="101"/>
      <c r="C115" s="113"/>
      <c r="D115" s="109"/>
      <c r="E115" s="109"/>
      <c r="F115" s="113"/>
      <c r="G115" s="114"/>
      <c r="H115" s="115"/>
      <c r="I115" s="109"/>
      <c r="S115" s="62">
        <f>+Q112+S113</f>
        <v>-759009.00900900899</v>
      </c>
      <c r="T115" s="62">
        <f>+S115+T113</f>
        <v>-514507.75099423749</v>
      </c>
      <c r="U115" s="62">
        <f>+T115+U113</f>
        <v>-278926.66223564697</v>
      </c>
      <c r="V115" s="62">
        <f>+U115+V113</f>
        <v>-108222.45886473748</v>
      </c>
      <c r="W115" s="62">
        <f>+V115+W113</f>
        <v>114275.49995363344</v>
      </c>
    </row>
    <row r="116" spans="1:23" x14ac:dyDescent="0.25">
      <c r="A116" s="101"/>
      <c r="B116" s="101"/>
      <c r="C116" s="113"/>
      <c r="D116" s="109"/>
      <c r="E116" s="109"/>
      <c r="F116" s="113"/>
      <c r="G116" s="114"/>
      <c r="H116" s="115"/>
      <c r="I116" s="109"/>
    </row>
    <row r="117" spans="1:23" x14ac:dyDescent="0.25">
      <c r="A117" s="101"/>
      <c r="B117" s="101"/>
      <c r="C117" s="113"/>
      <c r="D117" s="109"/>
      <c r="E117" s="109"/>
      <c r="F117" s="113"/>
      <c r="G117" s="114"/>
      <c r="H117" s="115"/>
      <c r="I117" s="109"/>
    </row>
    <row r="118" spans="1:23" x14ac:dyDescent="0.25">
      <c r="A118" s="101"/>
      <c r="B118" s="101"/>
      <c r="C118" s="113"/>
      <c r="D118" s="109"/>
      <c r="E118" s="109"/>
      <c r="F118" s="113"/>
      <c r="G118" s="114"/>
      <c r="H118" s="115"/>
      <c r="I118" s="109"/>
    </row>
    <row r="119" spans="1:23" x14ac:dyDescent="0.25">
      <c r="A119" s="101"/>
      <c r="B119" s="101"/>
      <c r="C119" s="113"/>
      <c r="D119" s="109"/>
      <c r="E119" s="109"/>
      <c r="F119" s="113"/>
      <c r="G119" s="114"/>
      <c r="H119" s="115"/>
      <c r="I119" s="109"/>
    </row>
    <row r="120" spans="1:23" x14ac:dyDescent="0.25">
      <c r="A120" s="101"/>
      <c r="B120" s="101"/>
      <c r="C120" s="113"/>
      <c r="D120" s="109"/>
      <c r="E120" s="109"/>
      <c r="F120" s="113"/>
      <c r="G120" s="114"/>
      <c r="H120" s="115"/>
      <c r="I120" s="109"/>
    </row>
    <row r="121" spans="1:23" x14ac:dyDescent="0.25">
      <c r="A121" s="101"/>
      <c r="B121" s="101"/>
      <c r="C121" s="113"/>
      <c r="D121" s="109"/>
      <c r="E121" s="109"/>
      <c r="F121" s="113"/>
      <c r="G121" s="114"/>
      <c r="H121" s="115"/>
      <c r="I121" s="109"/>
    </row>
    <row r="122" spans="1:23" x14ac:dyDescent="0.25">
      <c r="A122" s="101"/>
      <c r="B122" s="101"/>
      <c r="C122" s="113"/>
      <c r="D122" s="109"/>
      <c r="E122" s="109"/>
      <c r="F122" s="113"/>
      <c r="G122" s="114"/>
      <c r="H122" s="115"/>
      <c r="I122" s="47"/>
    </row>
    <row r="123" spans="1:23" x14ac:dyDescent="0.25">
      <c r="A123" s="101"/>
      <c r="B123" s="101"/>
      <c r="C123" s="109"/>
      <c r="D123" s="101"/>
      <c r="E123" s="101"/>
      <c r="F123" s="113"/>
      <c r="G123" s="101"/>
      <c r="H123" s="115"/>
      <c r="I123" s="109"/>
    </row>
    <row r="124" spans="1:23" x14ac:dyDescent="0.25">
      <c r="A124" s="101"/>
      <c r="B124" s="101"/>
      <c r="C124" s="113"/>
      <c r="D124" s="101"/>
      <c r="E124" s="101"/>
      <c r="F124" s="109"/>
      <c r="G124" s="101"/>
      <c r="H124" s="119"/>
      <c r="I124" s="109"/>
    </row>
    <row r="125" spans="1:23" x14ac:dyDescent="0.25">
      <c r="A125" s="101"/>
      <c r="B125" s="120"/>
      <c r="C125" s="101"/>
      <c r="D125" s="101"/>
      <c r="E125" s="101"/>
      <c r="F125" s="101"/>
      <c r="G125" s="101"/>
      <c r="H125" s="101"/>
      <c r="I125" s="121"/>
    </row>
    <row r="126" spans="1:23" x14ac:dyDescent="0.25">
      <c r="A126" s="101"/>
      <c r="B126" s="120"/>
      <c r="C126" s="101"/>
      <c r="D126" s="101"/>
      <c r="E126" s="101"/>
      <c r="F126" s="114"/>
      <c r="G126" s="101"/>
      <c r="H126" s="101"/>
      <c r="I126" s="101"/>
    </row>
    <row r="127" spans="1:23" x14ac:dyDescent="0.25">
      <c r="A127" s="101"/>
      <c r="B127" s="101"/>
      <c r="C127" s="109"/>
      <c r="D127" s="101"/>
      <c r="E127" s="101"/>
      <c r="F127" s="113"/>
      <c r="G127" s="101"/>
      <c r="H127" s="113"/>
      <c r="I127" s="109"/>
    </row>
    <row r="128" spans="1:23" x14ac:dyDescent="0.25">
      <c r="F128" s="62"/>
    </row>
  </sheetData>
  <sheetProtection algorithmName="SHA-512" hashValue="fCrgxT/QbQOQzpSIWKqcQf72j+Jxw2qP+uGdJMDoVSv39ElkJdabKethXQuePlw49R27IAp3PeBnR1umahHfwg==" saltValue="LidozaAZV0BtC2ky+bVOKQ==" spinCount="100000" sheet="1" objects="1" scenarios="1"/>
  <mergeCells count="12">
    <mergeCell ref="T5:U5"/>
    <mergeCell ref="V5:W5"/>
    <mergeCell ref="X5:Y5"/>
    <mergeCell ref="L75:M75"/>
    <mergeCell ref="N75:O75"/>
    <mergeCell ref="P75:Q75"/>
    <mergeCell ref="P5:Q5"/>
    <mergeCell ref="N5:O5"/>
    <mergeCell ref="L5:M5"/>
    <mergeCell ref="L40:M40"/>
    <mergeCell ref="N40:O40"/>
    <mergeCell ref="P40:Q40"/>
  </mergeCells>
  <phoneticPr fontId="8" type="noConversion"/>
  <dataValidations disablePrompts="1" count="1">
    <dataValidation type="list" allowBlank="1" showInputMessage="1" showErrorMessage="1" sqref="B44:D44 E89 E107" xr:uid="{49B98004-9EF7-44C3-8B87-9E89D9BDF986}">
      <formula1>$D$76:$D$78</formula1>
    </dataValidation>
  </dataValidations>
  <pageMargins left="0.23622047244094491" right="0.23622047244094491" top="0.74803149606299213" bottom="0.74803149606299213" header="0.31496062992125984" footer="0.31496062992125984"/>
  <pageSetup paperSize="9" scale="60" pageOrder="overThenDown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3</vt:i4>
      </vt:variant>
      <vt:variant>
        <vt:lpstr>Navngivne områder</vt:lpstr>
      </vt:variant>
      <vt:variant>
        <vt:i4>2</vt:i4>
      </vt:variant>
    </vt:vector>
  </HeadingPairs>
  <TitlesOfParts>
    <vt:vector size="5" baseType="lpstr">
      <vt:lpstr>Information</vt:lpstr>
      <vt:lpstr>Vejledning</vt:lpstr>
      <vt:lpstr>Indtastningsark</vt:lpstr>
      <vt:lpstr>Indtastningsark!Udskriftsområde</vt:lpstr>
      <vt:lpstr>Vejledning!Udskriftsområde</vt:lpstr>
    </vt:vector>
  </TitlesOfParts>
  <Company>LF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Kenneth Kjeldgaard</dc:creator>
  <cp:lastModifiedBy>Sanne Trampedach</cp:lastModifiedBy>
  <cp:lastPrinted>2022-11-25T12:12:12Z</cp:lastPrinted>
  <dcterms:created xsi:type="dcterms:W3CDTF">2015-02-24T13:53:46Z</dcterms:created>
  <dcterms:modified xsi:type="dcterms:W3CDTF">2022-12-06T09:45:44Z</dcterms:modified>
</cp:coreProperties>
</file>