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T:\Svinefaglige projekter\1137_opti_næringsstof\02_Leverancer\2024\"/>
    </mc:Choice>
  </mc:AlternateContent>
  <xr:revisionPtr revIDLastSave="0" documentId="13_ncr:1_{F7EB1D97-728E-4FE7-A720-50CF6756FE7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indtastning" sheetId="13" r:id="rId1"/>
    <sheet name="Effektivt lysin, smågrise" sheetId="12" r:id="rId2"/>
    <sheet name="Effektivt lysin, slagtegrise" sheetId="11" r:id="rId3"/>
    <sheet name="udskrift 30 uger" sheetId="16" r:id="rId4"/>
    <sheet name="beregningsark" sheetId="5" state="hidden" r:id="rId5"/>
    <sheet name="hjælpeark smågrisefigur" sheetId="14" state="hidden" r:id="rId6"/>
    <sheet name="hjælpeark slagtegrisefigur" sheetId="15" state="hidden" r:id="rId7"/>
    <sheet name="vejledning" sheetId="21" r:id="rId8"/>
  </sheets>
  <definedNames>
    <definedName name="_AMO_UniqueIdentifier" hidden="1">"'2035b13d-54ee-45a6-8645-1d7e79e77252'"</definedName>
    <definedName name="_xlnm.Print_Area" localSheetId="6">'hjælpeark slagtegrisefigur'!$K$1:$S$46</definedName>
    <definedName name="_xlnm.Print_Area" localSheetId="5">'hjælpeark smågrisefigur'!$K$1:$S$46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13" l="1"/>
  <c r="I18" i="5"/>
  <c r="I25" i="5"/>
  <c r="I32" i="5"/>
  <c r="I39" i="5"/>
  <c r="I46" i="5"/>
  <c r="I53" i="5"/>
  <c r="I60" i="5"/>
  <c r="I67" i="5"/>
  <c r="I74" i="5"/>
  <c r="I81" i="5"/>
  <c r="I88" i="5"/>
  <c r="I95" i="5"/>
  <c r="I102" i="5"/>
  <c r="I109" i="5"/>
  <c r="I116" i="5"/>
  <c r="I123" i="5"/>
  <c r="I130" i="5"/>
  <c r="I137" i="5"/>
  <c r="I144" i="5"/>
  <c r="I151" i="5"/>
  <c r="I158" i="5"/>
  <c r="I165" i="5"/>
  <c r="I172" i="5"/>
  <c r="I179" i="5"/>
  <c r="I186" i="5"/>
  <c r="I193" i="5"/>
  <c r="I200" i="5"/>
  <c r="I207" i="5"/>
  <c r="I214" i="5"/>
  <c r="I221" i="5"/>
  <c r="I11" i="5"/>
  <c r="L16" i="13"/>
  <c r="L17" i="13"/>
  <c r="L18" i="13"/>
  <c r="L19" i="13"/>
  <c r="L20" i="13"/>
  <c r="L21" i="13"/>
  <c r="L15" i="13"/>
  <c r="M3" i="15"/>
  <c r="A17" i="13"/>
  <c r="K17" i="13" s="1"/>
  <c r="A18" i="13"/>
  <c r="K18" i="13" s="1"/>
  <c r="A19" i="13"/>
  <c r="K19" i="13" s="1"/>
  <c r="A20" i="13"/>
  <c r="K20" i="13" s="1"/>
  <c r="A21" i="13"/>
  <c r="K21" i="13" s="1"/>
  <c r="K15" i="13"/>
  <c r="A16" i="13" l="1"/>
  <c r="K16" i="13" s="1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7" i="13"/>
  <c r="I6" i="16"/>
  <c r="I5" i="16"/>
  <c r="I4" i="16"/>
  <c r="M4" i="16"/>
  <c r="O3" i="16"/>
  <c r="J3" i="16"/>
  <c r="E2" i="16"/>
  <c r="M3" i="14"/>
  <c r="AM14" i="5"/>
  <c r="AM15" i="5"/>
  <c r="AM16" i="5"/>
  <c r="AM17" i="5"/>
  <c r="AM18" i="5"/>
  <c r="AM19" i="5"/>
  <c r="AM20" i="5"/>
  <c r="AM21" i="5"/>
  <c r="AM22" i="5"/>
  <c r="AM23" i="5"/>
  <c r="AM24" i="5"/>
  <c r="AM11" i="5"/>
  <c r="AJ12" i="5"/>
  <c r="AM12" i="5" s="1"/>
  <c r="AJ13" i="5"/>
  <c r="AM13" i="5" s="1"/>
  <c r="AJ14" i="5"/>
  <c r="AJ15" i="5"/>
  <c r="AJ16" i="5"/>
  <c r="AJ17" i="5"/>
  <c r="AJ18" i="5"/>
  <c r="AJ19" i="5"/>
  <c r="AJ20" i="5"/>
  <c r="AJ21" i="5"/>
  <c r="AJ22" i="5"/>
  <c r="AJ23" i="5"/>
  <c r="AJ24" i="5"/>
  <c r="AJ11" i="5"/>
  <c r="C84" i="13" l="1"/>
  <c r="D84" i="13"/>
  <c r="C85" i="13"/>
  <c r="D85" i="13"/>
  <c r="C86" i="13"/>
  <c r="D86" i="13"/>
  <c r="C87" i="13"/>
  <c r="D87" i="13"/>
  <c r="C88" i="13"/>
  <c r="D88" i="13"/>
  <c r="C89" i="13"/>
  <c r="D89" i="13"/>
  <c r="C90" i="13"/>
  <c r="D90" i="13"/>
  <c r="C91" i="13"/>
  <c r="D91" i="13"/>
  <c r="C92" i="13"/>
  <c r="D92" i="13"/>
  <c r="C93" i="13"/>
  <c r="D93" i="13"/>
  <c r="C94" i="13"/>
  <c r="D94" i="13"/>
  <c r="C95" i="13"/>
  <c r="D95" i="13"/>
  <c r="C96" i="13"/>
  <c r="D96" i="13"/>
  <c r="C97" i="13"/>
  <c r="D97" i="13"/>
  <c r="C98" i="13"/>
  <c r="D98" i="13"/>
  <c r="C99" i="13"/>
  <c r="D99" i="13"/>
  <c r="C100" i="13"/>
  <c r="D100" i="13"/>
  <c r="C101" i="13"/>
  <c r="D101" i="13"/>
  <c r="C102" i="13"/>
  <c r="D102" i="13"/>
  <c r="C103" i="13"/>
  <c r="D103" i="13"/>
  <c r="C104" i="13"/>
  <c r="D104" i="13"/>
  <c r="C105" i="13"/>
  <c r="D105" i="13"/>
  <c r="C106" i="13"/>
  <c r="D106" i="13"/>
  <c r="C107" i="13"/>
  <c r="D107" i="13"/>
  <c r="C108" i="13"/>
  <c r="D108" i="13"/>
  <c r="C109" i="13"/>
  <c r="D109" i="13"/>
  <c r="C110" i="13"/>
  <c r="D110" i="13"/>
  <c r="C111" i="13"/>
  <c r="D111" i="13"/>
  <c r="C112" i="13"/>
  <c r="D112" i="13"/>
  <c r="C113" i="13"/>
  <c r="D113" i="13"/>
  <c r="C114" i="13"/>
  <c r="D114" i="13"/>
  <c r="C115" i="13"/>
  <c r="D115" i="13"/>
  <c r="C116" i="13"/>
  <c r="D116" i="13"/>
  <c r="C117" i="13"/>
  <c r="D117" i="13"/>
  <c r="C118" i="13"/>
  <c r="D118" i="13"/>
  <c r="C119" i="13"/>
  <c r="D119" i="13"/>
  <c r="C120" i="13"/>
  <c r="D120" i="13"/>
  <c r="C121" i="13"/>
  <c r="D121" i="13"/>
  <c r="C122" i="13"/>
  <c r="D122" i="13"/>
  <c r="C123" i="13"/>
  <c r="D123" i="13"/>
  <c r="C124" i="13"/>
  <c r="D124" i="13"/>
  <c r="C125" i="13"/>
  <c r="D125" i="13"/>
  <c r="C126" i="13"/>
  <c r="D126" i="13"/>
  <c r="C127" i="13"/>
  <c r="D127" i="13"/>
  <c r="C128" i="13"/>
  <c r="D128" i="13"/>
  <c r="C129" i="13"/>
  <c r="D129" i="13"/>
  <c r="C130" i="13"/>
  <c r="D130" i="13"/>
  <c r="C131" i="13"/>
  <c r="D131" i="13"/>
  <c r="C132" i="13"/>
  <c r="D132" i="13"/>
  <c r="C133" i="13"/>
  <c r="D133" i="13"/>
  <c r="C134" i="13"/>
  <c r="D134" i="13"/>
  <c r="C135" i="13"/>
  <c r="D135" i="13"/>
  <c r="C136" i="13"/>
  <c r="D136" i="13"/>
  <c r="C137" i="13"/>
  <c r="D137" i="13"/>
  <c r="C138" i="13"/>
  <c r="D138" i="13"/>
  <c r="C139" i="13"/>
  <c r="D139" i="13"/>
  <c r="C140" i="13"/>
  <c r="D140" i="13"/>
  <c r="C141" i="13"/>
  <c r="D141" i="13"/>
  <c r="C142" i="13"/>
  <c r="D142" i="13"/>
  <c r="C143" i="13"/>
  <c r="D143" i="13"/>
  <c r="C144" i="13"/>
  <c r="D144" i="13"/>
  <c r="C145" i="13"/>
  <c r="D145" i="13"/>
  <c r="C146" i="13"/>
  <c r="D146" i="13"/>
  <c r="C147" i="13"/>
  <c r="D147" i="13"/>
  <c r="C148" i="13"/>
  <c r="D148" i="13"/>
  <c r="C149" i="13"/>
  <c r="D149" i="13"/>
  <c r="C150" i="13"/>
  <c r="D150" i="13"/>
  <c r="C151" i="13"/>
  <c r="D151" i="13"/>
  <c r="C152" i="13"/>
  <c r="D152" i="13"/>
  <c r="C153" i="13"/>
  <c r="D153" i="13"/>
  <c r="C154" i="13"/>
  <c r="D154" i="13"/>
  <c r="C155" i="13"/>
  <c r="D155" i="13"/>
  <c r="C156" i="13"/>
  <c r="D156" i="13"/>
  <c r="C157" i="13"/>
  <c r="D157" i="13"/>
  <c r="C158" i="13"/>
  <c r="D158" i="13"/>
  <c r="C159" i="13"/>
  <c r="D159" i="13"/>
  <c r="C160" i="13"/>
  <c r="D160" i="13"/>
  <c r="C161" i="13"/>
  <c r="D161" i="13"/>
  <c r="C162" i="13"/>
  <c r="D162" i="13"/>
  <c r="C163" i="13"/>
  <c r="D163" i="13"/>
  <c r="C164" i="13"/>
  <c r="D164" i="13"/>
  <c r="C165" i="13"/>
  <c r="D165" i="13"/>
  <c r="C166" i="13"/>
  <c r="D166" i="13"/>
  <c r="C167" i="13"/>
  <c r="D167" i="13"/>
  <c r="C168" i="13"/>
  <c r="D168" i="13"/>
  <c r="C169" i="13"/>
  <c r="D169" i="13"/>
  <c r="C170" i="13"/>
  <c r="D170" i="13"/>
  <c r="C171" i="13"/>
  <c r="D171" i="13"/>
  <c r="C172" i="13"/>
  <c r="D172" i="13"/>
  <c r="C173" i="13"/>
  <c r="D173" i="13"/>
  <c r="C174" i="13"/>
  <c r="D174" i="13"/>
  <c r="C175" i="13"/>
  <c r="D175" i="13"/>
  <c r="C176" i="13"/>
  <c r="D176" i="13"/>
  <c r="C177" i="13"/>
  <c r="D177" i="13"/>
  <c r="C178" i="13"/>
  <c r="D178" i="13"/>
  <c r="C179" i="13"/>
  <c r="D179" i="13"/>
  <c r="C180" i="13"/>
  <c r="D180" i="13"/>
  <c r="C181" i="13"/>
  <c r="D181" i="13"/>
  <c r="C182" i="13"/>
  <c r="D182" i="13"/>
  <c r="C183" i="13"/>
  <c r="D183" i="13"/>
  <c r="C184" i="13"/>
  <c r="D184" i="13"/>
  <c r="C185" i="13"/>
  <c r="D185" i="13"/>
  <c r="C186" i="13"/>
  <c r="D186" i="13"/>
  <c r="C187" i="13"/>
  <c r="D187" i="13"/>
  <c r="C188" i="13"/>
  <c r="D188" i="13"/>
  <c r="C189" i="13"/>
  <c r="D189" i="13"/>
  <c r="C190" i="13"/>
  <c r="D190" i="13"/>
  <c r="C191" i="13"/>
  <c r="D191" i="13"/>
  <c r="C192" i="13"/>
  <c r="D192" i="13"/>
  <c r="C193" i="13"/>
  <c r="D193" i="13"/>
  <c r="C194" i="13"/>
  <c r="D194" i="13"/>
  <c r="C195" i="13"/>
  <c r="D195" i="13"/>
  <c r="C196" i="13"/>
  <c r="D196" i="13"/>
  <c r="C197" i="13"/>
  <c r="D197" i="13"/>
  <c r="C198" i="13"/>
  <c r="D198" i="13"/>
  <c r="C199" i="13"/>
  <c r="D199" i="13"/>
  <c r="C200" i="13"/>
  <c r="D200" i="13"/>
  <c r="C201" i="13"/>
  <c r="D201" i="13"/>
  <c r="C202" i="13"/>
  <c r="D202" i="13"/>
  <c r="C203" i="13"/>
  <c r="D203" i="13"/>
  <c r="C204" i="13"/>
  <c r="D204" i="13"/>
  <c r="C205" i="13"/>
  <c r="D205" i="13"/>
  <c r="C206" i="13"/>
  <c r="D206" i="13"/>
  <c r="C207" i="13"/>
  <c r="D207" i="13"/>
  <c r="C208" i="13"/>
  <c r="D208" i="13"/>
  <c r="C209" i="13"/>
  <c r="D209" i="13"/>
  <c r="C210" i="13"/>
  <c r="D210" i="13"/>
  <c r="C211" i="13"/>
  <c r="D211" i="13"/>
  <c r="C212" i="13"/>
  <c r="D212" i="13"/>
  <c r="C213" i="13"/>
  <c r="D213" i="13"/>
  <c r="C214" i="13"/>
  <c r="D214" i="13"/>
  <c r="C215" i="13"/>
  <c r="D215" i="13"/>
  <c r="C216" i="13"/>
  <c r="F37" i="16" s="1"/>
  <c r="D216" i="13"/>
  <c r="C217" i="13"/>
  <c r="D217" i="13"/>
  <c r="C218" i="13"/>
  <c r="D218" i="13"/>
  <c r="C219" i="13"/>
  <c r="D219" i="13"/>
  <c r="C220" i="13"/>
  <c r="D220" i="13"/>
  <c r="C221" i="13"/>
  <c r="D221" i="13"/>
  <c r="C222" i="13"/>
  <c r="D222" i="13"/>
  <c r="C223" i="13"/>
  <c r="D223" i="13"/>
  <c r="C224" i="13"/>
  <c r="D224" i="13"/>
  <c r="C225" i="13"/>
  <c r="D225" i="13"/>
  <c r="C226" i="13"/>
  <c r="D226" i="13"/>
  <c r="C227" i="13"/>
  <c r="D227" i="13"/>
  <c r="C228" i="13"/>
  <c r="D228" i="13"/>
  <c r="C229" i="13"/>
  <c r="D229" i="13"/>
  <c r="C230" i="13"/>
  <c r="D230" i="13"/>
  <c r="C231" i="13"/>
  <c r="D231" i="13"/>
  <c r="C232" i="13"/>
  <c r="D232" i="13"/>
  <c r="C233" i="13"/>
  <c r="D233" i="13"/>
  <c r="C234" i="13"/>
  <c r="D234" i="13"/>
  <c r="C235" i="13"/>
  <c r="D235" i="13"/>
  <c r="C236" i="13"/>
  <c r="D236" i="13"/>
  <c r="C237" i="13"/>
  <c r="D237" i="13"/>
  <c r="C238" i="13"/>
  <c r="D238" i="13"/>
  <c r="C27" i="13"/>
  <c r="D27" i="13"/>
  <c r="C28" i="13"/>
  <c r="D28" i="13"/>
  <c r="C29" i="13"/>
  <c r="D29" i="13"/>
  <c r="C30" i="13"/>
  <c r="D30" i="13"/>
  <c r="C31" i="13"/>
  <c r="D31" i="13"/>
  <c r="C32" i="13"/>
  <c r="D32" i="13"/>
  <c r="C33" i="13"/>
  <c r="D33" i="13"/>
  <c r="C34" i="13"/>
  <c r="D34" i="13"/>
  <c r="C35" i="13"/>
  <c r="D35" i="13"/>
  <c r="C36" i="13"/>
  <c r="D36" i="13"/>
  <c r="C37" i="13"/>
  <c r="D37" i="13"/>
  <c r="C38" i="13"/>
  <c r="D38" i="13"/>
  <c r="C39" i="13"/>
  <c r="D39" i="13"/>
  <c r="C40" i="13"/>
  <c r="D40" i="13"/>
  <c r="C41" i="13"/>
  <c r="D41" i="13"/>
  <c r="C42" i="13"/>
  <c r="D42" i="13"/>
  <c r="C43" i="13"/>
  <c r="D43" i="13"/>
  <c r="C44" i="13"/>
  <c r="D44" i="13"/>
  <c r="C45" i="13"/>
  <c r="D45" i="13"/>
  <c r="C46" i="13"/>
  <c r="D46" i="13"/>
  <c r="C47" i="13"/>
  <c r="D47" i="13"/>
  <c r="C48" i="13"/>
  <c r="D48" i="13"/>
  <c r="C49" i="13"/>
  <c r="D49" i="13"/>
  <c r="C50" i="13"/>
  <c r="D50" i="13"/>
  <c r="C51" i="13"/>
  <c r="D51" i="13"/>
  <c r="C52" i="13"/>
  <c r="D52" i="13"/>
  <c r="C53" i="13"/>
  <c r="D53" i="13"/>
  <c r="C54" i="13"/>
  <c r="D54" i="13"/>
  <c r="C55" i="13"/>
  <c r="D55" i="13"/>
  <c r="C56" i="13"/>
  <c r="D56" i="13"/>
  <c r="C57" i="13"/>
  <c r="D57" i="13"/>
  <c r="C58" i="13"/>
  <c r="D58" i="13"/>
  <c r="C59" i="13"/>
  <c r="D59" i="13"/>
  <c r="C60" i="13"/>
  <c r="D60" i="13"/>
  <c r="C61" i="13"/>
  <c r="D61" i="13"/>
  <c r="C62" i="13"/>
  <c r="D62" i="13"/>
  <c r="C63" i="13"/>
  <c r="D63" i="13"/>
  <c r="C64" i="13"/>
  <c r="D64" i="13"/>
  <c r="C65" i="13"/>
  <c r="D65" i="13"/>
  <c r="C66" i="13"/>
  <c r="D66" i="13"/>
  <c r="C67" i="13"/>
  <c r="D67" i="13"/>
  <c r="C68" i="13"/>
  <c r="D68" i="13"/>
  <c r="C69" i="13"/>
  <c r="D69" i="13"/>
  <c r="C70" i="13"/>
  <c r="D70" i="13"/>
  <c r="C71" i="13"/>
  <c r="D71" i="13"/>
  <c r="C72" i="13"/>
  <c r="D72" i="13"/>
  <c r="C73" i="13"/>
  <c r="D73" i="13"/>
  <c r="C74" i="13"/>
  <c r="D74" i="13"/>
  <c r="C75" i="13"/>
  <c r="D75" i="13"/>
  <c r="C76" i="13"/>
  <c r="D76" i="13"/>
  <c r="C77" i="13"/>
  <c r="D77" i="13"/>
  <c r="D79" i="13"/>
  <c r="D80" i="13"/>
  <c r="D81" i="13"/>
  <c r="D82" i="13"/>
  <c r="D83" i="13"/>
  <c r="D78" i="13"/>
  <c r="C79" i="13"/>
  <c r="C80" i="13"/>
  <c r="C81" i="13"/>
  <c r="C82" i="13"/>
  <c r="C83" i="13"/>
  <c r="C78" i="13"/>
  <c r="P6" i="16"/>
  <c r="A10" i="16" l="1"/>
  <c r="L97" i="13"/>
  <c r="L104" i="13"/>
  <c r="L111" i="13"/>
  <c r="L118" i="13"/>
  <c r="L125" i="13"/>
  <c r="L132" i="13"/>
  <c r="L139" i="13"/>
  <c r="L146" i="13"/>
  <c r="L153" i="13"/>
  <c r="L160" i="13"/>
  <c r="L167" i="13"/>
  <c r="L174" i="13"/>
  <c r="L181" i="13"/>
  <c r="L188" i="13"/>
  <c r="L195" i="13"/>
  <c r="L202" i="13"/>
  <c r="L209" i="13"/>
  <c r="L216" i="13"/>
  <c r="L223" i="13"/>
  <c r="L230" i="13"/>
  <c r="L237" i="13"/>
  <c r="G238" i="13"/>
  <c r="G231" i="13"/>
  <c r="L231" i="13" s="1"/>
  <c r="G224" i="13"/>
  <c r="G217" i="13"/>
  <c r="G210" i="13"/>
  <c r="G203" i="13"/>
  <c r="G196" i="13"/>
  <c r="G189" i="13"/>
  <c r="G182" i="13"/>
  <c r="G175" i="13"/>
  <c r="G168" i="13"/>
  <c r="G161" i="13"/>
  <c r="G154" i="13"/>
  <c r="G147" i="13"/>
  <c r="G140" i="13"/>
  <c r="G133" i="13"/>
  <c r="G126" i="13"/>
  <c r="L126" i="13" s="1"/>
  <c r="G119" i="13"/>
  <c r="G112" i="13"/>
  <c r="G105" i="13"/>
  <c r="G98" i="13"/>
  <c r="G91" i="13"/>
  <c r="G84" i="13"/>
  <c r="G77" i="13"/>
  <c r="I61" i="5" s="1"/>
  <c r="G70" i="13"/>
  <c r="G63" i="13"/>
  <c r="G56" i="13"/>
  <c r="L56" i="13" s="1"/>
  <c r="G49" i="13"/>
  <c r="G42" i="13"/>
  <c r="G35" i="13"/>
  <c r="G28" i="13"/>
  <c r="E252" i="13"/>
  <c r="F11" i="16"/>
  <c r="F12" i="16"/>
  <c r="F13" i="16"/>
  <c r="F14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8" i="16"/>
  <c r="F39" i="16"/>
  <c r="F40" i="16"/>
  <c r="F10" i="16"/>
  <c r="F228" i="13"/>
  <c r="AB212" i="5" s="1"/>
  <c r="F229" i="13"/>
  <c r="AB213" i="5" s="1"/>
  <c r="F230" i="13"/>
  <c r="AB214" i="5" s="1"/>
  <c r="F231" i="13"/>
  <c r="AB215" i="5" s="1"/>
  <c r="F232" i="13"/>
  <c r="AB216" i="5" s="1"/>
  <c r="F233" i="13"/>
  <c r="AB217" i="5" s="1"/>
  <c r="F234" i="13"/>
  <c r="AB218" i="5" s="1"/>
  <c r="F235" i="13"/>
  <c r="AB219" i="5" s="1"/>
  <c r="F236" i="13"/>
  <c r="AB220" i="5" s="1"/>
  <c r="F237" i="13"/>
  <c r="AB221" i="5" s="1"/>
  <c r="F238" i="13"/>
  <c r="AB222" i="5" s="1"/>
  <c r="F91" i="13"/>
  <c r="AB75" i="5" s="1"/>
  <c r="F92" i="13"/>
  <c r="AB76" i="5" s="1"/>
  <c r="F93" i="13"/>
  <c r="AB77" i="5" s="1"/>
  <c r="F94" i="13"/>
  <c r="AB78" i="5" s="1"/>
  <c r="F95" i="13"/>
  <c r="F96" i="13"/>
  <c r="AB80" i="5" s="1"/>
  <c r="F97" i="13"/>
  <c r="AB81" i="5" s="1"/>
  <c r="F98" i="13"/>
  <c r="AB82" i="5" s="1"/>
  <c r="F99" i="13"/>
  <c r="AB83" i="5" s="1"/>
  <c r="F100" i="13"/>
  <c r="AB84" i="5" s="1"/>
  <c r="F101" i="13"/>
  <c r="F102" i="13"/>
  <c r="AB86" i="5" s="1"/>
  <c r="F103" i="13"/>
  <c r="AB87" i="5" s="1"/>
  <c r="F104" i="13"/>
  <c r="AB88" i="5" s="1"/>
  <c r="F105" i="13"/>
  <c r="AB89" i="5" s="1"/>
  <c r="F106" i="13"/>
  <c r="AB90" i="5" s="1"/>
  <c r="F107" i="13"/>
  <c r="AB91" i="5" s="1"/>
  <c r="F108" i="13"/>
  <c r="AB92" i="5" s="1"/>
  <c r="F109" i="13"/>
  <c r="AB93" i="5" s="1"/>
  <c r="F110" i="13"/>
  <c r="AB94" i="5" s="1"/>
  <c r="F111" i="13"/>
  <c r="AB95" i="5" s="1"/>
  <c r="F112" i="13"/>
  <c r="AB96" i="5" s="1"/>
  <c r="F113" i="13"/>
  <c r="AB97" i="5" s="1"/>
  <c r="F114" i="13"/>
  <c r="AB98" i="5" s="1"/>
  <c r="F115" i="13"/>
  <c r="AB99" i="5" s="1"/>
  <c r="F116" i="13"/>
  <c r="AB100" i="5" s="1"/>
  <c r="F117" i="13"/>
  <c r="AB101" i="5" s="1"/>
  <c r="F118" i="13"/>
  <c r="AB102" i="5" s="1"/>
  <c r="F119" i="13"/>
  <c r="AB103" i="5" s="1"/>
  <c r="F120" i="13"/>
  <c r="AB104" i="5" s="1"/>
  <c r="F121" i="13"/>
  <c r="AB105" i="5" s="1"/>
  <c r="F122" i="13"/>
  <c r="AB106" i="5" s="1"/>
  <c r="F123" i="13"/>
  <c r="AB107" i="5" s="1"/>
  <c r="F124" i="13"/>
  <c r="AB108" i="5" s="1"/>
  <c r="F125" i="13"/>
  <c r="AB109" i="5" s="1"/>
  <c r="F126" i="13"/>
  <c r="AB110" i="5" s="1"/>
  <c r="F127" i="13"/>
  <c r="AB111" i="5" s="1"/>
  <c r="F128" i="13"/>
  <c r="AB112" i="5" s="1"/>
  <c r="F129" i="13"/>
  <c r="AB113" i="5" s="1"/>
  <c r="F130" i="13"/>
  <c r="AB114" i="5" s="1"/>
  <c r="F131" i="13"/>
  <c r="AB115" i="5" s="1"/>
  <c r="F132" i="13"/>
  <c r="AB116" i="5" s="1"/>
  <c r="F133" i="13"/>
  <c r="F134" i="13"/>
  <c r="AB118" i="5" s="1"/>
  <c r="F135" i="13"/>
  <c r="F136" i="13"/>
  <c r="AB120" i="5" s="1"/>
  <c r="F137" i="13"/>
  <c r="F138" i="13"/>
  <c r="AB122" i="5" s="1"/>
  <c r="F139" i="13"/>
  <c r="F140" i="13"/>
  <c r="AB124" i="5" s="1"/>
  <c r="F141" i="13"/>
  <c r="AB125" i="5" s="1"/>
  <c r="F142" i="13"/>
  <c r="AB126" i="5" s="1"/>
  <c r="F143" i="13"/>
  <c r="AB127" i="5" s="1"/>
  <c r="F144" i="13"/>
  <c r="AB128" i="5" s="1"/>
  <c r="F145" i="13"/>
  <c r="AB129" i="5" s="1"/>
  <c r="F146" i="13"/>
  <c r="AB130" i="5" s="1"/>
  <c r="F147" i="13"/>
  <c r="AB131" i="5" s="1"/>
  <c r="F148" i="13"/>
  <c r="AB132" i="5" s="1"/>
  <c r="F149" i="13"/>
  <c r="AB133" i="5" s="1"/>
  <c r="F150" i="13"/>
  <c r="AB134" i="5" s="1"/>
  <c r="F151" i="13"/>
  <c r="AB135" i="5" s="1"/>
  <c r="F152" i="13"/>
  <c r="AB136" i="5" s="1"/>
  <c r="F153" i="13"/>
  <c r="AB137" i="5" s="1"/>
  <c r="F154" i="13"/>
  <c r="AB138" i="5" s="1"/>
  <c r="F155" i="13"/>
  <c r="AB139" i="5" s="1"/>
  <c r="F156" i="13"/>
  <c r="AB140" i="5" s="1"/>
  <c r="F157" i="13"/>
  <c r="AB141" i="5" s="1"/>
  <c r="F158" i="13"/>
  <c r="AB142" i="5" s="1"/>
  <c r="F159" i="13"/>
  <c r="AB143" i="5" s="1"/>
  <c r="F160" i="13"/>
  <c r="AB144" i="5" s="1"/>
  <c r="F161" i="13"/>
  <c r="AB145" i="5" s="1"/>
  <c r="F162" i="13"/>
  <c r="AB146" i="5" s="1"/>
  <c r="F163" i="13"/>
  <c r="AB147" i="5" s="1"/>
  <c r="F164" i="13"/>
  <c r="AB148" i="5" s="1"/>
  <c r="F165" i="13"/>
  <c r="AB149" i="5" s="1"/>
  <c r="F166" i="13"/>
  <c r="AB150" i="5" s="1"/>
  <c r="F167" i="13"/>
  <c r="AB151" i="5" s="1"/>
  <c r="F168" i="13"/>
  <c r="AB152" i="5" s="1"/>
  <c r="F169" i="13"/>
  <c r="AB153" i="5" s="1"/>
  <c r="F170" i="13"/>
  <c r="AB154" i="5" s="1"/>
  <c r="F171" i="13"/>
  <c r="AB155" i="5" s="1"/>
  <c r="F172" i="13"/>
  <c r="AB156" i="5" s="1"/>
  <c r="F173" i="13"/>
  <c r="AB157" i="5" s="1"/>
  <c r="F174" i="13"/>
  <c r="AB158" i="5" s="1"/>
  <c r="F175" i="13"/>
  <c r="AB159" i="5" s="1"/>
  <c r="F176" i="13"/>
  <c r="AB160" i="5" s="1"/>
  <c r="F177" i="13"/>
  <c r="AB161" i="5" s="1"/>
  <c r="F178" i="13"/>
  <c r="AB162" i="5" s="1"/>
  <c r="F179" i="13"/>
  <c r="AB163" i="5" s="1"/>
  <c r="F180" i="13"/>
  <c r="AB164" i="5" s="1"/>
  <c r="F181" i="13"/>
  <c r="AB165" i="5" s="1"/>
  <c r="F182" i="13"/>
  <c r="AB166" i="5" s="1"/>
  <c r="F183" i="13"/>
  <c r="AB167" i="5" s="1"/>
  <c r="F184" i="13"/>
  <c r="AB168" i="5" s="1"/>
  <c r="F185" i="13"/>
  <c r="AB169" i="5" s="1"/>
  <c r="F186" i="13"/>
  <c r="AB170" i="5" s="1"/>
  <c r="F187" i="13"/>
  <c r="AB171" i="5" s="1"/>
  <c r="F188" i="13"/>
  <c r="AB172" i="5" s="1"/>
  <c r="F189" i="13"/>
  <c r="AB173" i="5" s="1"/>
  <c r="F190" i="13"/>
  <c r="AB174" i="5" s="1"/>
  <c r="F191" i="13"/>
  <c r="AB175" i="5" s="1"/>
  <c r="F192" i="13"/>
  <c r="AB176" i="5" s="1"/>
  <c r="F193" i="13"/>
  <c r="AB177" i="5" s="1"/>
  <c r="F194" i="13"/>
  <c r="AB178" i="5" s="1"/>
  <c r="F195" i="13"/>
  <c r="AB179" i="5" s="1"/>
  <c r="F196" i="13"/>
  <c r="AB180" i="5" s="1"/>
  <c r="F197" i="13"/>
  <c r="AB181" i="5" s="1"/>
  <c r="F198" i="13"/>
  <c r="AB182" i="5" s="1"/>
  <c r="F199" i="13"/>
  <c r="AB183" i="5" s="1"/>
  <c r="F200" i="13"/>
  <c r="AB184" i="5" s="1"/>
  <c r="F201" i="13"/>
  <c r="AB185" i="5" s="1"/>
  <c r="F202" i="13"/>
  <c r="AB186" i="5" s="1"/>
  <c r="F203" i="13"/>
  <c r="AB187" i="5" s="1"/>
  <c r="F204" i="13"/>
  <c r="AB188" i="5" s="1"/>
  <c r="F205" i="13"/>
  <c r="AB189" i="5" s="1"/>
  <c r="F206" i="13"/>
  <c r="AB190" i="5" s="1"/>
  <c r="F207" i="13"/>
  <c r="AB191" i="5" s="1"/>
  <c r="F208" i="13"/>
  <c r="AB192" i="5" s="1"/>
  <c r="F209" i="13"/>
  <c r="AB193" i="5" s="1"/>
  <c r="F210" i="13"/>
  <c r="AB194" i="5" s="1"/>
  <c r="F211" i="13"/>
  <c r="AB195" i="5" s="1"/>
  <c r="F212" i="13"/>
  <c r="AB196" i="5" s="1"/>
  <c r="F213" i="13"/>
  <c r="AB197" i="5" s="1"/>
  <c r="F214" i="13"/>
  <c r="AB198" i="5" s="1"/>
  <c r="F215" i="13"/>
  <c r="AB199" i="5" s="1"/>
  <c r="F216" i="13"/>
  <c r="AB200" i="5" s="1"/>
  <c r="F217" i="13"/>
  <c r="AB201" i="5" s="1"/>
  <c r="F218" i="13"/>
  <c r="AB202" i="5" s="1"/>
  <c r="F219" i="13"/>
  <c r="AB203" i="5" s="1"/>
  <c r="F220" i="13"/>
  <c r="AB204" i="5" s="1"/>
  <c r="F221" i="13"/>
  <c r="AB205" i="5" s="1"/>
  <c r="F222" i="13"/>
  <c r="AB206" i="5" s="1"/>
  <c r="F223" i="13"/>
  <c r="AB207" i="5" s="1"/>
  <c r="F224" i="13"/>
  <c r="AB208" i="5" s="1"/>
  <c r="F225" i="13"/>
  <c r="AB209" i="5" s="1"/>
  <c r="F226" i="13"/>
  <c r="AB210" i="5" s="1"/>
  <c r="F227" i="13"/>
  <c r="AB211" i="5" s="1"/>
  <c r="F27" i="13"/>
  <c r="AB11" i="5" s="1"/>
  <c r="F28" i="13"/>
  <c r="AB12" i="5" s="1"/>
  <c r="F29" i="13"/>
  <c r="AB13" i="5" s="1"/>
  <c r="F30" i="13"/>
  <c r="AB14" i="5" s="1"/>
  <c r="F31" i="13"/>
  <c r="AB15" i="5" s="1"/>
  <c r="F32" i="13"/>
  <c r="AB16" i="5" s="1"/>
  <c r="F33" i="13"/>
  <c r="AB17" i="5" s="1"/>
  <c r="F34" i="13"/>
  <c r="AB18" i="5" s="1"/>
  <c r="F35" i="13"/>
  <c r="AB19" i="5" s="1"/>
  <c r="F36" i="13"/>
  <c r="AB20" i="5" s="1"/>
  <c r="F37" i="13"/>
  <c r="AB21" i="5" s="1"/>
  <c r="F38" i="13"/>
  <c r="AB22" i="5" s="1"/>
  <c r="F39" i="13"/>
  <c r="AB23" i="5" s="1"/>
  <c r="F40" i="13"/>
  <c r="AB24" i="5" s="1"/>
  <c r="F41" i="13"/>
  <c r="AB25" i="5" s="1"/>
  <c r="F42" i="13"/>
  <c r="AB26" i="5" s="1"/>
  <c r="F43" i="13"/>
  <c r="AB27" i="5" s="1"/>
  <c r="F44" i="13"/>
  <c r="AB28" i="5" s="1"/>
  <c r="F45" i="13"/>
  <c r="AB29" i="5" s="1"/>
  <c r="F46" i="13"/>
  <c r="AB30" i="5" s="1"/>
  <c r="F47" i="13"/>
  <c r="AB31" i="5" s="1"/>
  <c r="F48" i="13"/>
  <c r="AB32" i="5" s="1"/>
  <c r="F49" i="13"/>
  <c r="AB33" i="5" s="1"/>
  <c r="F50" i="13"/>
  <c r="AB34" i="5" s="1"/>
  <c r="F51" i="13"/>
  <c r="AB35" i="5" s="1"/>
  <c r="F52" i="13"/>
  <c r="AB36" i="5" s="1"/>
  <c r="F53" i="13"/>
  <c r="AB37" i="5" s="1"/>
  <c r="F54" i="13"/>
  <c r="AB38" i="5" s="1"/>
  <c r="F55" i="13"/>
  <c r="AB39" i="5" s="1"/>
  <c r="F56" i="13"/>
  <c r="AB40" i="5" s="1"/>
  <c r="F57" i="13"/>
  <c r="AB41" i="5" s="1"/>
  <c r="F58" i="13"/>
  <c r="AB42" i="5" s="1"/>
  <c r="F59" i="13"/>
  <c r="AB43" i="5" s="1"/>
  <c r="F60" i="13"/>
  <c r="AB44" i="5" s="1"/>
  <c r="F61" i="13"/>
  <c r="AB45" i="5" s="1"/>
  <c r="F62" i="13"/>
  <c r="AB46" i="5" s="1"/>
  <c r="F63" i="13"/>
  <c r="AB47" i="5" s="1"/>
  <c r="F64" i="13"/>
  <c r="AB48" i="5" s="1"/>
  <c r="F65" i="13"/>
  <c r="AB49" i="5" s="1"/>
  <c r="F66" i="13"/>
  <c r="AB50" i="5" s="1"/>
  <c r="F67" i="13"/>
  <c r="AB51" i="5" s="1"/>
  <c r="F68" i="13"/>
  <c r="AB52" i="5" s="1"/>
  <c r="F69" i="13"/>
  <c r="AB53" i="5" s="1"/>
  <c r="F70" i="13"/>
  <c r="AB54" i="5" s="1"/>
  <c r="F71" i="13"/>
  <c r="AB55" i="5" s="1"/>
  <c r="F72" i="13"/>
  <c r="AB56" i="5" s="1"/>
  <c r="F73" i="13"/>
  <c r="AB57" i="5" s="1"/>
  <c r="F74" i="13"/>
  <c r="AB58" i="5" s="1"/>
  <c r="F75" i="13"/>
  <c r="AB59" i="5" s="1"/>
  <c r="F76" i="13"/>
  <c r="AB60" i="5" s="1"/>
  <c r="F77" i="13"/>
  <c r="AB61" i="5" s="1"/>
  <c r="F78" i="13"/>
  <c r="AB62" i="5" s="1"/>
  <c r="F79" i="13"/>
  <c r="AB63" i="5" s="1"/>
  <c r="F80" i="13"/>
  <c r="AB64" i="5" s="1"/>
  <c r="F81" i="13"/>
  <c r="AB65" i="5" s="1"/>
  <c r="F82" i="13"/>
  <c r="AB66" i="5" s="1"/>
  <c r="F83" i="13"/>
  <c r="AB67" i="5" s="1"/>
  <c r="F84" i="13"/>
  <c r="AB68" i="5" s="1"/>
  <c r="F85" i="13"/>
  <c r="AB69" i="5" s="1"/>
  <c r="F86" i="13"/>
  <c r="AB70" i="5" s="1"/>
  <c r="F87" i="13"/>
  <c r="AB71" i="5" s="1"/>
  <c r="F88" i="13"/>
  <c r="AB72" i="5" s="1"/>
  <c r="F89" i="13"/>
  <c r="AB73" i="5" s="1"/>
  <c r="F90" i="13"/>
  <c r="AB74" i="5" s="1"/>
  <c r="O6" i="16"/>
  <c r="L27" i="13"/>
  <c r="L34" i="13"/>
  <c r="L41" i="13"/>
  <c r="L48" i="13"/>
  <c r="L55" i="13"/>
  <c r="L62" i="13"/>
  <c r="L69" i="13"/>
  <c r="L76" i="13"/>
  <c r="L83" i="13"/>
  <c r="L90" i="13"/>
  <c r="L77" i="13" l="1"/>
  <c r="L238" i="13"/>
  <c r="I222" i="5"/>
  <c r="G232" i="13"/>
  <c r="I216" i="5" s="1"/>
  <c r="I215" i="5"/>
  <c r="G225" i="13"/>
  <c r="I209" i="5" s="1"/>
  <c r="I208" i="5"/>
  <c r="G218" i="13"/>
  <c r="I202" i="5" s="1"/>
  <c r="I201" i="5"/>
  <c r="G211" i="13"/>
  <c r="I195" i="5" s="1"/>
  <c r="I194" i="5"/>
  <c r="G204" i="13"/>
  <c r="I188" i="5" s="1"/>
  <c r="I187" i="5"/>
  <c r="L196" i="13"/>
  <c r="I180" i="5"/>
  <c r="L189" i="13"/>
  <c r="I173" i="5"/>
  <c r="L182" i="13"/>
  <c r="I166" i="5"/>
  <c r="L175" i="13"/>
  <c r="I159" i="5"/>
  <c r="G169" i="13"/>
  <c r="I152" i="5"/>
  <c r="G162" i="13"/>
  <c r="I146" i="5" s="1"/>
  <c r="I145" i="5"/>
  <c r="G155" i="13"/>
  <c r="I139" i="5" s="1"/>
  <c r="I138" i="5"/>
  <c r="G148" i="13"/>
  <c r="I132" i="5" s="1"/>
  <c r="I131" i="5"/>
  <c r="L140" i="13"/>
  <c r="I124" i="5"/>
  <c r="L133" i="13"/>
  <c r="I117" i="5"/>
  <c r="G127" i="13"/>
  <c r="I111" i="5" s="1"/>
  <c r="I110" i="5"/>
  <c r="G120" i="13"/>
  <c r="I104" i="5" s="1"/>
  <c r="I103" i="5"/>
  <c r="G113" i="13"/>
  <c r="I97" i="5" s="1"/>
  <c r="I96" i="5"/>
  <c r="G106" i="13"/>
  <c r="I90" i="5" s="1"/>
  <c r="I89" i="5"/>
  <c r="G99" i="13"/>
  <c r="I83" i="5" s="1"/>
  <c r="I82" i="5"/>
  <c r="G92" i="13"/>
  <c r="I76" i="5" s="1"/>
  <c r="I75" i="5"/>
  <c r="G78" i="13"/>
  <c r="I62" i="5" s="1"/>
  <c r="G36" i="13"/>
  <c r="I20" i="5" s="1"/>
  <c r="I19" i="5"/>
  <c r="L84" i="13"/>
  <c r="I68" i="5"/>
  <c r="L70" i="13"/>
  <c r="I54" i="5"/>
  <c r="G64" i="13"/>
  <c r="I48" i="5" s="1"/>
  <c r="I47" i="5"/>
  <c r="G57" i="13"/>
  <c r="I41" i="5" s="1"/>
  <c r="I40" i="5"/>
  <c r="G43" i="13"/>
  <c r="I27" i="5" s="1"/>
  <c r="I26" i="5"/>
  <c r="L49" i="13"/>
  <c r="I33" i="5"/>
  <c r="L28" i="13"/>
  <c r="I12" i="5"/>
  <c r="L35" i="13"/>
  <c r="L42" i="13"/>
  <c r="L63" i="13"/>
  <c r="G71" i="13"/>
  <c r="N6" i="16"/>
  <c r="M6" i="16"/>
  <c r="AB121" i="5"/>
  <c r="AB119" i="5"/>
  <c r="AB79" i="5"/>
  <c r="AB117" i="5"/>
  <c r="AB85" i="5"/>
  <c r="AB123" i="5"/>
  <c r="L232" i="13"/>
  <c r="L224" i="13"/>
  <c r="G219" i="13"/>
  <c r="I203" i="5" s="1"/>
  <c r="L217" i="13"/>
  <c r="L210" i="13"/>
  <c r="G212" i="13"/>
  <c r="I196" i="5" s="1"/>
  <c r="L211" i="13"/>
  <c r="L203" i="13"/>
  <c r="G197" i="13"/>
  <c r="L197" i="13" s="1"/>
  <c r="G190" i="13"/>
  <c r="I174" i="5" s="1"/>
  <c r="G183" i="13"/>
  <c r="I167" i="5" s="1"/>
  <c r="L168" i="13"/>
  <c r="G176" i="13"/>
  <c r="I160" i="5" s="1"/>
  <c r="L161" i="13"/>
  <c r="L169" i="13"/>
  <c r="G163" i="13"/>
  <c r="I147" i="5" s="1"/>
  <c r="L162" i="13"/>
  <c r="L154" i="13"/>
  <c r="G149" i="13"/>
  <c r="I133" i="5" s="1"/>
  <c r="L148" i="13"/>
  <c r="L147" i="13"/>
  <c r="G141" i="13"/>
  <c r="I125" i="5" s="1"/>
  <c r="G134" i="13"/>
  <c r="I118" i="5" s="1"/>
  <c r="G121" i="13"/>
  <c r="I105" i="5" s="1"/>
  <c r="L120" i="13"/>
  <c r="L119" i="13"/>
  <c r="G114" i="13"/>
  <c r="I98" i="5" s="1"/>
  <c r="L113" i="13"/>
  <c r="L112" i="13"/>
  <c r="L105" i="13"/>
  <c r="L98" i="13"/>
  <c r="L91" i="13"/>
  <c r="G85" i="13"/>
  <c r="I69" i="5" s="1"/>
  <c r="L57" i="13"/>
  <c r="G50" i="13"/>
  <c r="I34" i="5" s="1"/>
  <c r="L43" i="13"/>
  <c r="G29" i="13"/>
  <c r="I13" i="5" s="1"/>
  <c r="P10" i="16"/>
  <c r="Q10" i="16" s="1"/>
  <c r="A11" i="16"/>
  <c r="F16" i="16"/>
  <c r="F17" i="16"/>
  <c r="F18" i="16"/>
  <c r="F19" i="16"/>
  <c r="F15" i="16"/>
  <c r="K23" i="13"/>
  <c r="G26" i="13"/>
  <c r="G25" i="13"/>
  <c r="G24" i="13"/>
  <c r="G58" i="13" l="1"/>
  <c r="G59" i="13" s="1"/>
  <c r="I43" i="5" s="1"/>
  <c r="G128" i="13"/>
  <c r="I112" i="5" s="1"/>
  <c r="L127" i="13"/>
  <c r="G233" i="13"/>
  <c r="I217" i="5" s="1"/>
  <c r="L225" i="13"/>
  <c r="G226" i="13"/>
  <c r="I210" i="5" s="1"/>
  <c r="L218" i="13"/>
  <c r="G205" i="13"/>
  <c r="I189" i="5" s="1"/>
  <c r="L204" i="13"/>
  <c r="G198" i="13"/>
  <c r="I181" i="5"/>
  <c r="G170" i="13"/>
  <c r="I153" i="5"/>
  <c r="G156" i="13"/>
  <c r="I140" i="5" s="1"/>
  <c r="L155" i="13"/>
  <c r="G100" i="13"/>
  <c r="I84" i="5" s="1"/>
  <c r="L99" i="13"/>
  <c r="G107" i="13"/>
  <c r="I91" i="5" s="1"/>
  <c r="L106" i="13"/>
  <c r="L92" i="13"/>
  <c r="G93" i="13"/>
  <c r="I77" i="5" s="1"/>
  <c r="G65" i="13"/>
  <c r="L65" i="13" s="1"/>
  <c r="L64" i="13"/>
  <c r="L78" i="13"/>
  <c r="G79" i="13"/>
  <c r="G80" i="13" s="1"/>
  <c r="I64" i="5" s="1"/>
  <c r="L36" i="13"/>
  <c r="G37" i="13"/>
  <c r="G38" i="13" s="1"/>
  <c r="G72" i="13"/>
  <c r="I55" i="5"/>
  <c r="L71" i="13"/>
  <c r="L58" i="13"/>
  <c r="I42" i="5"/>
  <c r="G44" i="13"/>
  <c r="L44" i="13" s="1"/>
  <c r="G234" i="13"/>
  <c r="I218" i="5" s="1"/>
  <c r="G227" i="13"/>
  <c r="I211" i="5" s="1"/>
  <c r="L226" i="13"/>
  <c r="G220" i="13"/>
  <c r="I204" i="5" s="1"/>
  <c r="L219" i="13"/>
  <c r="G213" i="13"/>
  <c r="I197" i="5" s="1"/>
  <c r="L212" i="13"/>
  <c r="G206" i="13"/>
  <c r="I190" i="5" s="1"/>
  <c r="G191" i="13"/>
  <c r="I175" i="5" s="1"/>
  <c r="L190" i="13"/>
  <c r="G184" i="13"/>
  <c r="I168" i="5" s="1"/>
  <c r="L183" i="13"/>
  <c r="G177" i="13"/>
  <c r="I161" i="5" s="1"/>
  <c r="L176" i="13"/>
  <c r="G164" i="13"/>
  <c r="I148" i="5" s="1"/>
  <c r="L163" i="13"/>
  <c r="G150" i="13"/>
  <c r="I134" i="5" s="1"/>
  <c r="L149" i="13"/>
  <c r="G142" i="13"/>
  <c r="I126" i="5" s="1"/>
  <c r="L141" i="13"/>
  <c r="G135" i="13"/>
  <c r="I119" i="5" s="1"/>
  <c r="L134" i="13"/>
  <c r="G129" i="13"/>
  <c r="I113" i="5" s="1"/>
  <c r="G122" i="13"/>
  <c r="I106" i="5" s="1"/>
  <c r="L121" i="13"/>
  <c r="G115" i="13"/>
  <c r="I99" i="5" s="1"/>
  <c r="L114" i="13"/>
  <c r="L107" i="13"/>
  <c r="G86" i="13"/>
  <c r="I70" i="5" s="1"/>
  <c r="L85" i="13"/>
  <c r="G51" i="13"/>
  <c r="I35" i="5" s="1"/>
  <c r="L50" i="13"/>
  <c r="G30" i="13"/>
  <c r="I14" i="5" s="1"/>
  <c r="L29" i="13"/>
  <c r="P11" i="16"/>
  <c r="Q11" i="16" s="1"/>
  <c r="A12" i="16"/>
  <c r="L59" i="13"/>
  <c r="G60" i="13"/>
  <c r="I44" i="5" s="1"/>
  <c r="H27" i="13"/>
  <c r="G22" i="13"/>
  <c r="G23" i="13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AI8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E21" i="16" s="1"/>
  <c r="M21" i="16" s="1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E23" i="16" s="1"/>
  <c r="M23" i="16" s="1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E25" i="16" s="1"/>
  <c r="M25" i="16" s="1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E27" i="16" s="1"/>
  <c r="M27" i="16" s="1"/>
  <c r="C131" i="5"/>
  <c r="C132" i="5"/>
  <c r="C133" i="5"/>
  <c r="C134" i="5"/>
  <c r="C135" i="5"/>
  <c r="C136" i="5"/>
  <c r="C137" i="5"/>
  <c r="E28" i="16" s="1"/>
  <c r="M28" i="16" s="1"/>
  <c r="C138" i="5"/>
  <c r="C139" i="5"/>
  <c r="C140" i="5"/>
  <c r="C141" i="5"/>
  <c r="C142" i="5"/>
  <c r="C143" i="5"/>
  <c r="C144" i="5"/>
  <c r="E29" i="16" s="1"/>
  <c r="M29" i="16" s="1"/>
  <c r="C145" i="5"/>
  <c r="C146" i="5"/>
  <c r="C147" i="5"/>
  <c r="C148" i="5"/>
  <c r="C149" i="5"/>
  <c r="C150" i="5"/>
  <c r="C151" i="5"/>
  <c r="E30" i="16" s="1"/>
  <c r="M30" i="16" s="1"/>
  <c r="C152" i="5"/>
  <c r="C153" i="5"/>
  <c r="C154" i="5"/>
  <c r="C155" i="5"/>
  <c r="C156" i="5"/>
  <c r="C157" i="5"/>
  <c r="C158" i="5"/>
  <c r="E31" i="16" s="1"/>
  <c r="M31" i="16" s="1"/>
  <c r="C159" i="5"/>
  <c r="C160" i="5"/>
  <c r="C161" i="5"/>
  <c r="C162" i="5"/>
  <c r="C163" i="5"/>
  <c r="C164" i="5"/>
  <c r="C165" i="5"/>
  <c r="E32" i="16" s="1"/>
  <c r="M32" i="16" s="1"/>
  <c r="C166" i="5"/>
  <c r="C167" i="5"/>
  <c r="C168" i="5"/>
  <c r="C169" i="5"/>
  <c r="C170" i="5"/>
  <c r="C171" i="5"/>
  <c r="C172" i="5"/>
  <c r="E33" i="16" s="1"/>
  <c r="M33" i="16" s="1"/>
  <c r="C173" i="5"/>
  <c r="C174" i="5"/>
  <c r="C175" i="5"/>
  <c r="C176" i="5"/>
  <c r="C177" i="5"/>
  <c r="C178" i="5"/>
  <c r="C179" i="5"/>
  <c r="E34" i="16" s="1"/>
  <c r="M34" i="16" s="1"/>
  <c r="C180" i="5"/>
  <c r="C181" i="5"/>
  <c r="C182" i="5"/>
  <c r="C183" i="5"/>
  <c r="C184" i="5"/>
  <c r="C185" i="5"/>
  <c r="C186" i="5"/>
  <c r="E35" i="16" s="1"/>
  <c r="M35" i="16" s="1"/>
  <c r="C187" i="5"/>
  <c r="C188" i="5"/>
  <c r="C189" i="5"/>
  <c r="C190" i="5"/>
  <c r="C191" i="5"/>
  <c r="C192" i="5"/>
  <c r="C193" i="5"/>
  <c r="E36" i="16" s="1"/>
  <c r="M36" i="16" s="1"/>
  <c r="C194" i="5"/>
  <c r="C195" i="5"/>
  <c r="C196" i="5"/>
  <c r="C197" i="5"/>
  <c r="C198" i="5"/>
  <c r="C199" i="5"/>
  <c r="C200" i="5"/>
  <c r="E37" i="16" s="1"/>
  <c r="M37" i="16" s="1"/>
  <c r="C201" i="5"/>
  <c r="C202" i="5"/>
  <c r="C203" i="5"/>
  <c r="C204" i="5"/>
  <c r="C205" i="5"/>
  <c r="C206" i="5"/>
  <c r="C207" i="5"/>
  <c r="E38" i="16" s="1"/>
  <c r="M38" i="16" s="1"/>
  <c r="C208" i="5"/>
  <c r="C209" i="5"/>
  <c r="C210" i="5"/>
  <c r="C211" i="5"/>
  <c r="C212" i="5"/>
  <c r="C213" i="5"/>
  <c r="C214" i="5"/>
  <c r="E39" i="16" s="1"/>
  <c r="M39" i="16" s="1"/>
  <c r="C215" i="5"/>
  <c r="C216" i="5"/>
  <c r="C217" i="5"/>
  <c r="C218" i="5"/>
  <c r="C219" i="5"/>
  <c r="C220" i="5"/>
  <c r="C221" i="5"/>
  <c r="E40" i="16" s="1"/>
  <c r="M40" i="16" s="1"/>
  <c r="C222" i="5"/>
  <c r="G101" i="13" l="1"/>
  <c r="I85" i="5" s="1"/>
  <c r="L100" i="13"/>
  <c r="I63" i="5"/>
  <c r="G81" i="13"/>
  <c r="I65" i="5" s="1"/>
  <c r="L79" i="13"/>
  <c r="L80" i="13"/>
  <c r="L128" i="13"/>
  <c r="L233" i="13"/>
  <c r="L205" i="13"/>
  <c r="G199" i="13"/>
  <c r="I182" i="5"/>
  <c r="L198" i="13"/>
  <c r="G171" i="13"/>
  <c r="I154" i="5"/>
  <c r="L170" i="13"/>
  <c r="L156" i="13"/>
  <c r="G157" i="13"/>
  <c r="I141" i="5" s="1"/>
  <c r="L93" i="13"/>
  <c r="G94" i="13"/>
  <c r="I78" i="5" s="1"/>
  <c r="G108" i="13"/>
  <c r="I92" i="5" s="1"/>
  <c r="I49" i="5"/>
  <c r="G66" i="13"/>
  <c r="I50" i="5" s="1"/>
  <c r="L38" i="13"/>
  <c r="I22" i="5"/>
  <c r="L37" i="13"/>
  <c r="I21" i="5"/>
  <c r="I56" i="5"/>
  <c r="G73" i="13"/>
  <c r="L72" i="13"/>
  <c r="G67" i="13"/>
  <c r="I51" i="5" s="1"/>
  <c r="G45" i="13"/>
  <c r="I28" i="5"/>
  <c r="G39" i="13"/>
  <c r="I23" i="5" s="1"/>
  <c r="L6" i="16"/>
  <c r="K6" i="16"/>
  <c r="E24" i="16"/>
  <c r="M24" i="16" s="1"/>
  <c r="E20" i="16"/>
  <c r="M20" i="16" s="1"/>
  <c r="E26" i="16"/>
  <c r="M26" i="16" s="1"/>
  <c r="E22" i="16"/>
  <c r="M22" i="16" s="1"/>
  <c r="G235" i="13"/>
  <c r="I219" i="5" s="1"/>
  <c r="L234" i="13"/>
  <c r="G228" i="13"/>
  <c r="I212" i="5" s="1"/>
  <c r="L227" i="13"/>
  <c r="G221" i="13"/>
  <c r="I205" i="5" s="1"/>
  <c r="L220" i="13"/>
  <c r="G214" i="13"/>
  <c r="I198" i="5" s="1"/>
  <c r="L213" i="13"/>
  <c r="G207" i="13"/>
  <c r="I191" i="5" s="1"/>
  <c r="L206" i="13"/>
  <c r="G192" i="13"/>
  <c r="I176" i="5" s="1"/>
  <c r="L191" i="13"/>
  <c r="G185" i="13"/>
  <c r="I169" i="5" s="1"/>
  <c r="L184" i="13"/>
  <c r="G178" i="13"/>
  <c r="I162" i="5" s="1"/>
  <c r="L177" i="13"/>
  <c r="G165" i="13"/>
  <c r="I149" i="5" s="1"/>
  <c r="L164" i="13"/>
  <c r="G158" i="13"/>
  <c r="I142" i="5" s="1"/>
  <c r="L157" i="13"/>
  <c r="G151" i="13"/>
  <c r="I135" i="5" s="1"/>
  <c r="L150" i="13"/>
  <c r="G143" i="13"/>
  <c r="I127" i="5" s="1"/>
  <c r="L142" i="13"/>
  <c r="G136" i="13"/>
  <c r="I120" i="5" s="1"/>
  <c r="L135" i="13"/>
  <c r="G130" i="13"/>
  <c r="I114" i="5" s="1"/>
  <c r="L129" i="13"/>
  <c r="G123" i="13"/>
  <c r="I107" i="5" s="1"/>
  <c r="L122" i="13"/>
  <c r="G116" i="13"/>
  <c r="I100" i="5" s="1"/>
  <c r="L115" i="13"/>
  <c r="G109" i="13"/>
  <c r="I93" i="5" s="1"/>
  <c r="G102" i="13"/>
  <c r="I86" i="5" s="1"/>
  <c r="G95" i="13"/>
  <c r="I79" i="5" s="1"/>
  <c r="L94" i="13"/>
  <c r="L86" i="13"/>
  <c r="G87" i="13"/>
  <c r="I71" i="5" s="1"/>
  <c r="L51" i="13"/>
  <c r="G52" i="13"/>
  <c r="I36" i="5" s="1"/>
  <c r="L30" i="13"/>
  <c r="G31" i="13"/>
  <c r="I15" i="5" s="1"/>
  <c r="A13" i="16"/>
  <c r="P12" i="16"/>
  <c r="Q12" i="16" s="1"/>
  <c r="E17" i="16"/>
  <c r="M17" i="16" s="1"/>
  <c r="E11" i="16"/>
  <c r="M11" i="16" s="1"/>
  <c r="E12" i="16"/>
  <c r="M12" i="16" s="1"/>
  <c r="E19" i="16"/>
  <c r="M19" i="16" s="1"/>
  <c r="E13" i="16"/>
  <c r="M13" i="16" s="1"/>
  <c r="E18" i="16"/>
  <c r="M18" i="16" s="1"/>
  <c r="E14" i="16"/>
  <c r="M14" i="16" s="1"/>
  <c r="E16" i="16"/>
  <c r="M16" i="16" s="1"/>
  <c r="E15" i="16"/>
  <c r="M15" i="16" s="1"/>
  <c r="L81" i="13"/>
  <c r="G82" i="13"/>
  <c r="L67" i="13"/>
  <c r="L60" i="13"/>
  <c r="G61" i="13"/>
  <c r="N12" i="5"/>
  <c r="N13" i="5"/>
  <c r="N14" i="5"/>
  <c r="N15" i="5"/>
  <c r="N16" i="5"/>
  <c r="N17" i="5"/>
  <c r="N18" i="5"/>
  <c r="G11" i="16" s="1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G13" i="16" s="1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G15" i="16" s="1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G17" i="16" s="1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G19" i="16" s="1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G21" i="16" s="1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G23" i="16" s="1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G25" i="16" s="1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G27" i="16" s="1"/>
  <c r="N131" i="5"/>
  <c r="N132" i="5"/>
  <c r="N133" i="5"/>
  <c r="N134" i="5"/>
  <c r="N135" i="5"/>
  <c r="N136" i="5"/>
  <c r="N137" i="5"/>
  <c r="G28" i="16" s="1"/>
  <c r="N138" i="5"/>
  <c r="N139" i="5"/>
  <c r="N140" i="5"/>
  <c r="N141" i="5"/>
  <c r="N142" i="5"/>
  <c r="N143" i="5"/>
  <c r="N144" i="5"/>
  <c r="G29" i="16" s="1"/>
  <c r="N145" i="5"/>
  <c r="N146" i="5"/>
  <c r="N147" i="5"/>
  <c r="N148" i="5"/>
  <c r="N149" i="5"/>
  <c r="N150" i="5"/>
  <c r="N151" i="5"/>
  <c r="G30" i="16" s="1"/>
  <c r="N152" i="5"/>
  <c r="N153" i="5"/>
  <c r="N154" i="5"/>
  <c r="N155" i="5"/>
  <c r="N156" i="5"/>
  <c r="N157" i="5"/>
  <c r="N158" i="5"/>
  <c r="G31" i="16" s="1"/>
  <c r="N159" i="5"/>
  <c r="N160" i="5"/>
  <c r="N161" i="5"/>
  <c r="N162" i="5"/>
  <c r="N163" i="5"/>
  <c r="N164" i="5"/>
  <c r="N165" i="5"/>
  <c r="G32" i="16" s="1"/>
  <c r="N166" i="5"/>
  <c r="N167" i="5"/>
  <c r="N168" i="5"/>
  <c r="N169" i="5"/>
  <c r="N170" i="5"/>
  <c r="N171" i="5"/>
  <c r="N172" i="5"/>
  <c r="G33" i="16" s="1"/>
  <c r="N173" i="5"/>
  <c r="N174" i="5"/>
  <c r="N175" i="5"/>
  <c r="N176" i="5"/>
  <c r="N177" i="5"/>
  <c r="N178" i="5"/>
  <c r="N179" i="5"/>
  <c r="G34" i="16" s="1"/>
  <c r="N180" i="5"/>
  <c r="N181" i="5"/>
  <c r="N182" i="5"/>
  <c r="N183" i="5"/>
  <c r="N184" i="5"/>
  <c r="N185" i="5"/>
  <c r="N186" i="5"/>
  <c r="G35" i="16" s="1"/>
  <c r="N187" i="5"/>
  <c r="N188" i="5"/>
  <c r="N189" i="5"/>
  <c r="N190" i="5"/>
  <c r="N191" i="5"/>
  <c r="N192" i="5"/>
  <c r="N193" i="5"/>
  <c r="G36" i="16" s="1"/>
  <c r="N194" i="5"/>
  <c r="N195" i="5"/>
  <c r="N196" i="5"/>
  <c r="N197" i="5"/>
  <c r="N198" i="5"/>
  <c r="N199" i="5"/>
  <c r="N200" i="5"/>
  <c r="G37" i="16" s="1"/>
  <c r="N201" i="5"/>
  <c r="N202" i="5"/>
  <c r="N203" i="5"/>
  <c r="N204" i="5"/>
  <c r="N205" i="5"/>
  <c r="N206" i="5"/>
  <c r="N207" i="5"/>
  <c r="G38" i="16" s="1"/>
  <c r="N208" i="5"/>
  <c r="N209" i="5"/>
  <c r="N210" i="5"/>
  <c r="N211" i="5"/>
  <c r="N212" i="5"/>
  <c r="N213" i="5"/>
  <c r="N214" i="5"/>
  <c r="G39" i="16" s="1"/>
  <c r="N215" i="5"/>
  <c r="N216" i="5"/>
  <c r="N217" i="5"/>
  <c r="N218" i="5"/>
  <c r="N219" i="5"/>
  <c r="N220" i="5"/>
  <c r="N221" i="5"/>
  <c r="G40" i="16" s="1"/>
  <c r="N222" i="5"/>
  <c r="K6" i="5"/>
  <c r="I3" i="5"/>
  <c r="I2" i="5"/>
  <c r="N11" i="5"/>
  <c r="C11" i="5"/>
  <c r="B11" i="5"/>
  <c r="L101" i="13" l="1"/>
  <c r="G40" i="13"/>
  <c r="L40" i="13" s="1"/>
  <c r="L39" i="13"/>
  <c r="L66" i="13"/>
  <c r="G200" i="13"/>
  <c r="I183" i="5"/>
  <c r="L199" i="13"/>
  <c r="G172" i="13"/>
  <c r="I155" i="5"/>
  <c r="L171" i="13"/>
  <c r="L108" i="13"/>
  <c r="L82" i="13"/>
  <c r="I66" i="5"/>
  <c r="G74" i="13"/>
  <c r="I57" i="5"/>
  <c r="L73" i="13"/>
  <c r="G68" i="13"/>
  <c r="L61" i="13"/>
  <c r="I45" i="5"/>
  <c r="I29" i="5"/>
  <c r="G46" i="13"/>
  <c r="L45" i="13"/>
  <c r="E10" i="16"/>
  <c r="M10" i="16" s="1"/>
  <c r="G22" i="16"/>
  <c r="G16" i="16"/>
  <c r="G14" i="16"/>
  <c r="G26" i="16"/>
  <c r="G18" i="16"/>
  <c r="G20" i="16"/>
  <c r="G12" i="16"/>
  <c r="G24" i="16"/>
  <c r="AN20" i="5"/>
  <c r="AN24" i="5"/>
  <c r="AN21" i="5"/>
  <c r="AN22" i="5"/>
  <c r="AN14" i="5"/>
  <c r="AN15" i="5"/>
  <c r="AN16" i="5"/>
  <c r="AN17" i="5"/>
  <c r="AN18" i="5"/>
  <c r="AN11" i="5"/>
  <c r="AN19" i="5"/>
  <c r="AN23" i="5"/>
  <c r="G236" i="13"/>
  <c r="L235" i="13"/>
  <c r="G229" i="13"/>
  <c r="L228" i="13"/>
  <c r="G222" i="13"/>
  <c r="L221" i="13"/>
  <c r="G215" i="13"/>
  <c r="L214" i="13"/>
  <c r="G208" i="13"/>
  <c r="L207" i="13"/>
  <c r="G193" i="13"/>
  <c r="I177" i="5" s="1"/>
  <c r="L192" i="13"/>
  <c r="G186" i="13"/>
  <c r="I170" i="5" s="1"/>
  <c r="L185" i="13"/>
  <c r="G179" i="13"/>
  <c r="I163" i="5" s="1"/>
  <c r="L178" i="13"/>
  <c r="G166" i="13"/>
  <c r="L165" i="13"/>
  <c r="G159" i="13"/>
  <c r="L158" i="13"/>
  <c r="G152" i="13"/>
  <c r="L151" i="13"/>
  <c r="G144" i="13"/>
  <c r="I128" i="5" s="1"/>
  <c r="L143" i="13"/>
  <c r="G137" i="13"/>
  <c r="I121" i="5" s="1"/>
  <c r="L136" i="13"/>
  <c r="G131" i="13"/>
  <c r="L130" i="13"/>
  <c r="G124" i="13"/>
  <c r="L123" i="13"/>
  <c r="G117" i="13"/>
  <c r="L116" i="13"/>
  <c r="G110" i="13"/>
  <c r="L109" i="13"/>
  <c r="G103" i="13"/>
  <c r="L102" i="13"/>
  <c r="G96" i="13"/>
  <c r="L95" i="13"/>
  <c r="G88" i="13"/>
  <c r="I72" i="5" s="1"/>
  <c r="L87" i="13"/>
  <c r="G53" i="13"/>
  <c r="I37" i="5" s="1"/>
  <c r="L52" i="13"/>
  <c r="L31" i="13"/>
  <c r="G32" i="13"/>
  <c r="I16" i="5" s="1"/>
  <c r="B10" i="16"/>
  <c r="A14" i="16"/>
  <c r="P13" i="16"/>
  <c r="Q13" i="16" s="1"/>
  <c r="G10" i="16"/>
  <c r="E84" i="12"/>
  <c r="F86" i="12" s="1"/>
  <c r="F87" i="12" s="1"/>
  <c r="F88" i="12" s="1"/>
  <c r="E83" i="12"/>
  <c r="E82" i="12"/>
  <c r="E81" i="12"/>
  <c r="E80" i="12"/>
  <c r="E79" i="12"/>
  <c r="E78" i="12"/>
  <c r="E77" i="12"/>
  <c r="E76" i="12"/>
  <c r="E75" i="12"/>
  <c r="E74" i="12"/>
  <c r="E63" i="12"/>
  <c r="F65" i="12" s="1"/>
  <c r="F66" i="12" s="1"/>
  <c r="F67" i="12" s="1"/>
  <c r="E62" i="12"/>
  <c r="E61" i="12"/>
  <c r="E60" i="12"/>
  <c r="E59" i="12"/>
  <c r="E58" i="12"/>
  <c r="E57" i="12"/>
  <c r="E56" i="12"/>
  <c r="E55" i="12"/>
  <c r="E54" i="12"/>
  <c r="E53" i="12"/>
  <c r="E42" i="12"/>
  <c r="F44" i="12" s="1"/>
  <c r="F45" i="12" s="1"/>
  <c r="F46" i="12" s="1"/>
  <c r="E41" i="12"/>
  <c r="E40" i="12"/>
  <c r="E39" i="12"/>
  <c r="E38" i="12"/>
  <c r="E37" i="12"/>
  <c r="E36" i="12"/>
  <c r="E35" i="12"/>
  <c r="E34" i="12"/>
  <c r="E33" i="12"/>
  <c r="E32" i="12"/>
  <c r="E21" i="12"/>
  <c r="F23" i="12" s="1"/>
  <c r="F24" i="12" s="1"/>
  <c r="F25" i="12" s="1"/>
  <c r="E20" i="12"/>
  <c r="E19" i="12"/>
  <c r="E18" i="12"/>
  <c r="E17" i="12"/>
  <c r="E16" i="12"/>
  <c r="E15" i="12"/>
  <c r="E14" i="12"/>
  <c r="E13" i="12"/>
  <c r="E12" i="12"/>
  <c r="E11" i="12"/>
  <c r="E84" i="11"/>
  <c r="F86" i="11" s="1"/>
  <c r="F87" i="11" s="1"/>
  <c r="F88" i="11" s="1"/>
  <c r="E75" i="11"/>
  <c r="E76" i="11"/>
  <c r="E77" i="11"/>
  <c r="E78" i="11"/>
  <c r="E79" i="11"/>
  <c r="E80" i="11"/>
  <c r="E81" i="11"/>
  <c r="E82" i="11"/>
  <c r="E83" i="11"/>
  <c r="E74" i="11"/>
  <c r="E63" i="11"/>
  <c r="F65" i="11" s="1"/>
  <c r="F66" i="11" s="1"/>
  <c r="F67" i="11" s="1"/>
  <c r="E54" i="11"/>
  <c r="E55" i="11"/>
  <c r="E56" i="11"/>
  <c r="E57" i="11"/>
  <c r="E58" i="11"/>
  <c r="E59" i="11"/>
  <c r="E60" i="11"/>
  <c r="E61" i="11"/>
  <c r="E62" i="11"/>
  <c r="E53" i="11"/>
  <c r="E41" i="11"/>
  <c r="F43" i="11" s="1"/>
  <c r="F44" i="11" s="1"/>
  <c r="F45" i="11" s="1"/>
  <c r="E40" i="11"/>
  <c r="E39" i="11"/>
  <c r="E38" i="11"/>
  <c r="E37" i="11"/>
  <c r="E36" i="11"/>
  <c r="E35" i="11"/>
  <c r="E34" i="11"/>
  <c r="E33" i="11"/>
  <c r="E32" i="11"/>
  <c r="E31" i="11"/>
  <c r="E20" i="11"/>
  <c r="F22" i="11" s="1"/>
  <c r="F23" i="11" s="1"/>
  <c r="F24" i="11" s="1"/>
  <c r="E19" i="11"/>
  <c r="E18" i="11"/>
  <c r="E17" i="11"/>
  <c r="E16" i="11"/>
  <c r="E15" i="11"/>
  <c r="E14" i="11"/>
  <c r="E13" i="11"/>
  <c r="E12" i="11"/>
  <c r="E11" i="11"/>
  <c r="E10" i="11"/>
  <c r="AC244" i="5"/>
  <c r="AC245" i="5"/>
  <c r="AC246" i="5"/>
  <c r="AC247" i="5"/>
  <c r="I24" i="5" l="1"/>
  <c r="L236" i="13"/>
  <c r="I220" i="5"/>
  <c r="L229" i="13"/>
  <c r="I213" i="5"/>
  <c r="L222" i="13"/>
  <c r="I206" i="5"/>
  <c r="L215" i="13"/>
  <c r="I199" i="5"/>
  <c r="L208" i="13"/>
  <c r="I192" i="5"/>
  <c r="I184" i="5"/>
  <c r="G201" i="13"/>
  <c r="L200" i="13"/>
  <c r="G173" i="13"/>
  <c r="I156" i="5"/>
  <c r="L172" i="13"/>
  <c r="L166" i="13"/>
  <c r="I150" i="5"/>
  <c r="L159" i="13"/>
  <c r="I143" i="5"/>
  <c r="L152" i="13"/>
  <c r="I136" i="5"/>
  <c r="L131" i="13"/>
  <c r="I115" i="5"/>
  <c r="L124" i="13"/>
  <c r="I108" i="5"/>
  <c r="L117" i="13"/>
  <c r="I101" i="5"/>
  <c r="L110" i="13"/>
  <c r="I94" i="5"/>
  <c r="L103" i="13"/>
  <c r="I87" i="5"/>
  <c r="L96" i="13"/>
  <c r="I80" i="5"/>
  <c r="I58" i="5"/>
  <c r="L74" i="13"/>
  <c r="G75" i="13"/>
  <c r="L68" i="13"/>
  <c r="I52" i="5"/>
  <c r="I30" i="5"/>
  <c r="L46" i="13"/>
  <c r="G47" i="13"/>
  <c r="D10" i="16"/>
  <c r="C10" i="16"/>
  <c r="G194" i="13"/>
  <c r="L193" i="13"/>
  <c r="G187" i="13"/>
  <c r="L186" i="13"/>
  <c r="G180" i="13"/>
  <c r="L179" i="13"/>
  <c r="G145" i="13"/>
  <c r="L144" i="13"/>
  <c r="G138" i="13"/>
  <c r="L137" i="13"/>
  <c r="G89" i="13"/>
  <c r="L88" i="13"/>
  <c r="G54" i="13"/>
  <c r="L53" i="13"/>
  <c r="L32" i="13"/>
  <c r="G33" i="13"/>
  <c r="A15" i="16"/>
  <c r="P14" i="16"/>
  <c r="Q14" i="16" s="1"/>
  <c r="E85" i="12"/>
  <c r="E86" i="12" s="1"/>
  <c r="E87" i="12" s="1"/>
  <c r="E88" i="12" s="1"/>
  <c r="E64" i="12"/>
  <c r="E65" i="12" s="1"/>
  <c r="E66" i="12" s="1"/>
  <c r="E67" i="12" s="1"/>
  <c r="E43" i="12"/>
  <c r="E44" i="12" s="1"/>
  <c r="E45" i="12" s="1"/>
  <c r="E46" i="12" s="1"/>
  <c r="E22" i="12"/>
  <c r="E23" i="12" s="1"/>
  <c r="E24" i="12" s="1"/>
  <c r="E25" i="12" s="1"/>
  <c r="E42" i="11"/>
  <c r="E43" i="11" s="1"/>
  <c r="E44" i="11" s="1"/>
  <c r="E45" i="11" s="1"/>
  <c r="E64" i="11"/>
  <c r="E65" i="11" s="1"/>
  <c r="E66" i="11" s="1"/>
  <c r="E67" i="11" s="1"/>
  <c r="E85" i="11"/>
  <c r="E86" i="11" s="1"/>
  <c r="E87" i="11" s="1"/>
  <c r="E88" i="11" s="1"/>
  <c r="E21" i="11"/>
  <c r="E22" i="11" s="1"/>
  <c r="E23" i="11" s="1"/>
  <c r="E24" i="11" s="1"/>
  <c r="AL12" i="5"/>
  <c r="AN12" i="5" s="1"/>
  <c r="AL13" i="5"/>
  <c r="AN13" i="5" s="1"/>
  <c r="AL14" i="5"/>
  <c r="AL15" i="5"/>
  <c r="AL16" i="5"/>
  <c r="AL17" i="5"/>
  <c r="AL18" i="5"/>
  <c r="AL19" i="5"/>
  <c r="AL20" i="5"/>
  <c r="AL21" i="5"/>
  <c r="AL22" i="5"/>
  <c r="AL23" i="5"/>
  <c r="AL24" i="5"/>
  <c r="AL11" i="5"/>
  <c r="L201" i="13" l="1"/>
  <c r="I185" i="5"/>
  <c r="L194" i="13"/>
  <c r="I178" i="5"/>
  <c r="L187" i="13"/>
  <c r="I171" i="5"/>
  <c r="L180" i="13"/>
  <c r="I164" i="5"/>
  <c r="L173" i="13"/>
  <c r="I157" i="5"/>
  <c r="L145" i="13"/>
  <c r="I129" i="5"/>
  <c r="L138" i="13"/>
  <c r="I122" i="5"/>
  <c r="L89" i="13"/>
  <c r="I73" i="5"/>
  <c r="L75" i="13"/>
  <c r="I59" i="5"/>
  <c r="L47" i="13"/>
  <c r="I31" i="5"/>
  <c r="L54" i="13"/>
  <c r="I38" i="5"/>
  <c r="L33" i="13"/>
  <c r="I17" i="5"/>
  <c r="A16" i="16"/>
  <c r="P15" i="16"/>
  <c r="Q15" i="16" s="1"/>
  <c r="D214" i="5"/>
  <c r="D207" i="5"/>
  <c r="D200" i="5"/>
  <c r="D193" i="5"/>
  <c r="D186" i="5"/>
  <c r="A17" i="16" l="1"/>
  <c r="P16" i="16"/>
  <c r="Q16" i="16" s="1"/>
  <c r="F207" i="5"/>
  <c r="E207" i="5"/>
  <c r="A18" i="16" l="1"/>
  <c r="P17" i="16"/>
  <c r="Q17" i="16" s="1"/>
  <c r="D209" i="5"/>
  <c r="D208" i="5"/>
  <c r="E208" i="5"/>
  <c r="F208" i="5"/>
  <c r="I4" i="5"/>
  <c r="I5" i="5" s="1"/>
  <c r="A19" i="16" l="1"/>
  <c r="P18" i="16"/>
  <c r="Q18" i="16" s="1"/>
  <c r="D67" i="5"/>
  <c r="D60" i="14"/>
  <c r="D60" i="15"/>
  <c r="D18" i="5"/>
  <c r="D11" i="14"/>
  <c r="D11" i="15"/>
  <c r="D123" i="14"/>
  <c r="D123" i="15"/>
  <c r="D74" i="14"/>
  <c r="D74" i="15"/>
  <c r="D32" i="5"/>
  <c r="D25" i="15"/>
  <c r="D25" i="14"/>
  <c r="D137" i="14"/>
  <c r="D137" i="15"/>
  <c r="D151" i="15"/>
  <c r="D151" i="14"/>
  <c r="D88" i="15"/>
  <c r="D88" i="14"/>
  <c r="D109" i="5"/>
  <c r="D102" i="15"/>
  <c r="D102" i="14"/>
  <c r="D116" i="15"/>
  <c r="D116" i="14"/>
  <c r="D67" i="14"/>
  <c r="D67" i="15"/>
  <c r="D11" i="5"/>
  <c r="D4" i="15"/>
  <c r="D4" i="14"/>
  <c r="D25" i="5"/>
  <c r="D18" i="14"/>
  <c r="D18" i="15"/>
  <c r="D130" i="14"/>
  <c r="D130" i="15"/>
  <c r="D81" i="15"/>
  <c r="D81" i="14"/>
  <c r="D39" i="5"/>
  <c r="D32" i="15"/>
  <c r="D32" i="14"/>
  <c r="D144" i="15"/>
  <c r="D144" i="14"/>
  <c r="D46" i="5"/>
  <c r="D39" i="15"/>
  <c r="D39" i="14"/>
  <c r="D102" i="5"/>
  <c r="D95" i="15"/>
  <c r="D95" i="14"/>
  <c r="D53" i="5"/>
  <c r="D46" i="15"/>
  <c r="D46" i="14"/>
  <c r="D60" i="5"/>
  <c r="D53" i="15"/>
  <c r="D53" i="14"/>
  <c r="D116" i="5"/>
  <c r="D109" i="15"/>
  <c r="D109" i="14"/>
  <c r="F173" i="5"/>
  <c r="D172" i="5"/>
  <c r="E209" i="5"/>
  <c r="F166" i="5"/>
  <c r="D165" i="5"/>
  <c r="D180" i="5"/>
  <c r="D179" i="5"/>
  <c r="D210" i="5"/>
  <c r="F209" i="5"/>
  <c r="D158" i="5"/>
  <c r="D137" i="5"/>
  <c r="D144" i="5"/>
  <c r="D151" i="5"/>
  <c r="D123" i="5"/>
  <c r="D130" i="5"/>
  <c r="D95" i="5"/>
  <c r="D74" i="5"/>
  <c r="D88" i="5"/>
  <c r="D81" i="5"/>
  <c r="E39" i="5"/>
  <c r="F158" i="5"/>
  <c r="E179" i="5"/>
  <c r="E151" i="5"/>
  <c r="F179" i="5"/>
  <c r="E144" i="5"/>
  <c r="E123" i="5"/>
  <c r="E165" i="5"/>
  <c r="F165" i="5"/>
  <c r="E172" i="5"/>
  <c r="F172" i="5"/>
  <c r="F137" i="5"/>
  <c r="E158" i="5"/>
  <c r="F144" i="5"/>
  <c r="F123" i="5"/>
  <c r="E137" i="5"/>
  <c r="F151" i="5"/>
  <c r="F130" i="5"/>
  <c r="E130" i="5"/>
  <c r="E109" i="5"/>
  <c r="F109" i="5"/>
  <c r="E116" i="5"/>
  <c r="F116" i="5"/>
  <c r="F102" i="5"/>
  <c r="E74" i="5"/>
  <c r="F74" i="5"/>
  <c r="E102" i="5"/>
  <c r="F88" i="5"/>
  <c r="E88" i="5"/>
  <c r="E60" i="5"/>
  <c r="E95" i="5"/>
  <c r="F95" i="5"/>
  <c r="E81" i="5"/>
  <c r="F81" i="5"/>
  <c r="E11" i="5"/>
  <c r="E46" i="5"/>
  <c r="E32" i="5"/>
  <c r="E18" i="5"/>
  <c r="F67" i="5"/>
  <c r="F39" i="5"/>
  <c r="E53" i="5"/>
  <c r="E25" i="5"/>
  <c r="F46" i="5"/>
  <c r="F18" i="5"/>
  <c r="F53" i="5"/>
  <c r="F25" i="5"/>
  <c r="E67" i="5"/>
  <c r="F60" i="5"/>
  <c r="F32" i="5"/>
  <c r="F11" i="5"/>
  <c r="C4" i="15"/>
  <c r="A20" i="16" l="1"/>
  <c r="P19" i="16"/>
  <c r="Q19" i="16" s="1"/>
  <c r="F75" i="5"/>
  <c r="D68" i="14"/>
  <c r="D68" i="15"/>
  <c r="E145" i="5"/>
  <c r="D138" i="14"/>
  <c r="D138" i="15"/>
  <c r="D19" i="5"/>
  <c r="D12" i="14"/>
  <c r="D12" i="15"/>
  <c r="D26" i="5"/>
  <c r="D19" i="14"/>
  <c r="D19" i="15"/>
  <c r="F82" i="5"/>
  <c r="D75" i="14"/>
  <c r="D75" i="15"/>
  <c r="F131" i="5"/>
  <c r="D124" i="15"/>
  <c r="D124" i="14"/>
  <c r="D131" i="14"/>
  <c r="D131" i="15"/>
  <c r="E152" i="5"/>
  <c r="D145" i="14"/>
  <c r="D145" i="15"/>
  <c r="D12" i="5"/>
  <c r="D5" i="15"/>
  <c r="D5" i="14"/>
  <c r="F68" i="5"/>
  <c r="D61" i="15"/>
  <c r="D61" i="14"/>
  <c r="F110" i="5"/>
  <c r="D103" i="15"/>
  <c r="D103" i="14"/>
  <c r="D54" i="5"/>
  <c r="D47" i="15"/>
  <c r="D47" i="14"/>
  <c r="D103" i="5"/>
  <c r="D96" i="15"/>
  <c r="D96" i="14"/>
  <c r="D61" i="5"/>
  <c r="D54" i="15"/>
  <c r="D54" i="14"/>
  <c r="E96" i="5"/>
  <c r="D89" i="14"/>
  <c r="D89" i="15"/>
  <c r="D33" i="5"/>
  <c r="D26" i="14"/>
  <c r="D26" i="15"/>
  <c r="F89" i="5"/>
  <c r="D82" i="14"/>
  <c r="D82" i="15"/>
  <c r="D117" i="15"/>
  <c r="D117" i="14"/>
  <c r="F159" i="5"/>
  <c r="D152" i="15"/>
  <c r="D152" i="14"/>
  <c r="D40" i="5"/>
  <c r="D33" i="15"/>
  <c r="D33" i="14"/>
  <c r="D110" i="15"/>
  <c r="D110" i="14"/>
  <c r="D47" i="5"/>
  <c r="D40" i="15"/>
  <c r="D40" i="14"/>
  <c r="C4" i="14"/>
  <c r="B4" i="14"/>
  <c r="G4" i="14" s="1"/>
  <c r="B4" i="15"/>
  <c r="G4" i="15" s="1"/>
  <c r="E159" i="5"/>
  <c r="AE11" i="5"/>
  <c r="E89" i="5"/>
  <c r="G11" i="5"/>
  <c r="E68" i="5"/>
  <c r="F61" i="5"/>
  <c r="E166" i="5"/>
  <c r="D181" i="5"/>
  <c r="F145" i="5"/>
  <c r="F180" i="5"/>
  <c r="E180" i="5"/>
  <c r="F96" i="5"/>
  <c r="E61" i="5"/>
  <c r="D211" i="5"/>
  <c r="D166" i="5"/>
  <c r="D173" i="5"/>
  <c r="F152" i="5"/>
  <c r="E210" i="5"/>
  <c r="E75" i="5"/>
  <c r="E47" i="5"/>
  <c r="F210" i="5"/>
  <c r="F47" i="5"/>
  <c r="E173" i="5"/>
  <c r="D159" i="5"/>
  <c r="D138" i="5"/>
  <c r="F138" i="5"/>
  <c r="E26" i="5"/>
  <c r="E54" i="5"/>
  <c r="E82" i="5"/>
  <c r="F26" i="5"/>
  <c r="D152" i="5"/>
  <c r="E138" i="5"/>
  <c r="D145" i="5"/>
  <c r="E131" i="5"/>
  <c r="D124" i="5"/>
  <c r="D117" i="5"/>
  <c r="E124" i="5"/>
  <c r="D131" i="5"/>
  <c r="F124" i="5"/>
  <c r="F54" i="5"/>
  <c r="E33" i="5"/>
  <c r="D82" i="5"/>
  <c r="D89" i="5"/>
  <c r="E110" i="5"/>
  <c r="D110" i="5"/>
  <c r="D75" i="5"/>
  <c r="F33" i="5"/>
  <c r="D68" i="5"/>
  <c r="D96" i="5"/>
  <c r="F19" i="5"/>
  <c r="E19" i="5"/>
  <c r="E12" i="5"/>
  <c r="F12" i="5"/>
  <c r="F117" i="5"/>
  <c r="R11" i="5"/>
  <c r="P11" i="5"/>
  <c r="Q11" i="5" s="1"/>
  <c r="C5" i="15"/>
  <c r="E117" i="5"/>
  <c r="E103" i="5"/>
  <c r="F103" i="5"/>
  <c r="F40" i="5"/>
  <c r="E40" i="5"/>
  <c r="K11" i="5"/>
  <c r="C11" i="15"/>
  <c r="A21" i="16" l="1"/>
  <c r="P20" i="16"/>
  <c r="Q20" i="16" s="1"/>
  <c r="D182" i="5"/>
  <c r="D13" i="5"/>
  <c r="D6" i="15"/>
  <c r="D6" i="14"/>
  <c r="D62" i="5"/>
  <c r="D55" i="15"/>
  <c r="D55" i="14"/>
  <c r="D55" i="5"/>
  <c r="D48" i="15"/>
  <c r="D48" i="14"/>
  <c r="D118" i="15"/>
  <c r="D118" i="14"/>
  <c r="D90" i="14"/>
  <c r="D90" i="15"/>
  <c r="D139" i="15"/>
  <c r="D139" i="14"/>
  <c r="D20" i="5"/>
  <c r="D13" i="15"/>
  <c r="D13" i="14"/>
  <c r="D83" i="14"/>
  <c r="D83" i="15"/>
  <c r="D27" i="5"/>
  <c r="D20" i="14"/>
  <c r="D20" i="15"/>
  <c r="D62" i="15"/>
  <c r="D62" i="14"/>
  <c r="D132" i="15"/>
  <c r="D132" i="14"/>
  <c r="D104" i="5"/>
  <c r="D97" i="14"/>
  <c r="D97" i="15"/>
  <c r="D41" i="5"/>
  <c r="D34" i="14"/>
  <c r="D34" i="15"/>
  <c r="D111" i="5"/>
  <c r="D104" i="15"/>
  <c r="D104" i="14"/>
  <c r="D34" i="5"/>
  <c r="D27" i="14"/>
  <c r="D27" i="15"/>
  <c r="D76" i="14"/>
  <c r="D76" i="15"/>
  <c r="F118" i="5"/>
  <c r="D111" i="15"/>
  <c r="D111" i="14"/>
  <c r="D146" i="14"/>
  <c r="D146" i="15"/>
  <c r="D69" i="15"/>
  <c r="D69" i="14"/>
  <c r="D125" i="15"/>
  <c r="D125" i="14"/>
  <c r="E211" i="5"/>
  <c r="D212" i="5"/>
  <c r="D48" i="5"/>
  <c r="D41" i="15"/>
  <c r="D41" i="14"/>
  <c r="D153" i="14"/>
  <c r="D153" i="15"/>
  <c r="C11" i="14"/>
  <c r="C6" i="15"/>
  <c r="C5" i="14"/>
  <c r="E181" i="5"/>
  <c r="F181" i="5"/>
  <c r="H11" i="5"/>
  <c r="F211" i="5"/>
  <c r="D160" i="5"/>
  <c r="E160" i="5"/>
  <c r="F160" i="5"/>
  <c r="D174" i="5"/>
  <c r="E174" i="5"/>
  <c r="F174" i="5"/>
  <c r="E118" i="5"/>
  <c r="D167" i="5"/>
  <c r="E167" i="5"/>
  <c r="F167" i="5"/>
  <c r="D153" i="5"/>
  <c r="F153" i="5"/>
  <c r="E153" i="5"/>
  <c r="D146" i="5"/>
  <c r="E146" i="5"/>
  <c r="F146" i="5"/>
  <c r="D139" i="5"/>
  <c r="E139" i="5"/>
  <c r="F139" i="5"/>
  <c r="D125" i="5"/>
  <c r="E125" i="5"/>
  <c r="F125" i="5"/>
  <c r="D132" i="5"/>
  <c r="F132" i="5"/>
  <c r="E132" i="5"/>
  <c r="D118" i="5"/>
  <c r="D76" i="5"/>
  <c r="E76" i="5"/>
  <c r="F76" i="5"/>
  <c r="D69" i="5"/>
  <c r="F69" i="5"/>
  <c r="E69" i="5"/>
  <c r="D97" i="5"/>
  <c r="F97" i="5"/>
  <c r="E97" i="5"/>
  <c r="D83" i="5"/>
  <c r="F83" i="5"/>
  <c r="E83" i="5"/>
  <c r="D90" i="5"/>
  <c r="F90" i="5"/>
  <c r="E90" i="5"/>
  <c r="E13" i="5"/>
  <c r="F13" i="5"/>
  <c r="E62" i="5"/>
  <c r="F62" i="5"/>
  <c r="E55" i="5"/>
  <c r="F55" i="5"/>
  <c r="F48" i="5"/>
  <c r="E48" i="5"/>
  <c r="E34" i="5"/>
  <c r="F34" i="5"/>
  <c r="E27" i="5"/>
  <c r="F27" i="5"/>
  <c r="E20" i="5"/>
  <c r="F20" i="5"/>
  <c r="F111" i="5"/>
  <c r="E111" i="5"/>
  <c r="F104" i="5"/>
  <c r="E104" i="5"/>
  <c r="C12" i="15"/>
  <c r="D213" i="5"/>
  <c r="F182" i="5"/>
  <c r="E182" i="5"/>
  <c r="D183" i="5"/>
  <c r="F41" i="5"/>
  <c r="E41" i="5"/>
  <c r="A22" i="16" l="1"/>
  <c r="P21" i="16"/>
  <c r="Q21" i="16" s="1"/>
  <c r="K27" i="13"/>
  <c r="F212" i="5"/>
  <c r="E212" i="5"/>
  <c r="D49" i="5"/>
  <c r="D42" i="14"/>
  <c r="D42" i="15"/>
  <c r="D147" i="14"/>
  <c r="D147" i="15"/>
  <c r="D14" i="5"/>
  <c r="D7" i="15"/>
  <c r="D7" i="14"/>
  <c r="D84" i="14"/>
  <c r="D84" i="15"/>
  <c r="D91" i="15"/>
  <c r="D91" i="14"/>
  <c r="D70" i="15"/>
  <c r="D70" i="14"/>
  <c r="D77" i="15"/>
  <c r="D77" i="14"/>
  <c r="D28" i="5"/>
  <c r="D21" i="15"/>
  <c r="D21" i="14"/>
  <c r="D126" i="15"/>
  <c r="D126" i="14"/>
  <c r="D133" i="15"/>
  <c r="D133" i="14"/>
  <c r="D42" i="5"/>
  <c r="D35" i="14"/>
  <c r="D35" i="15"/>
  <c r="D56" i="5"/>
  <c r="D49" i="15"/>
  <c r="D49" i="14"/>
  <c r="D63" i="15"/>
  <c r="D63" i="14"/>
  <c r="D112" i="5"/>
  <c r="D105" i="14"/>
  <c r="D105" i="15"/>
  <c r="D63" i="5"/>
  <c r="D56" i="15"/>
  <c r="D56" i="14"/>
  <c r="D112" i="15"/>
  <c r="D112" i="14"/>
  <c r="D119" i="15"/>
  <c r="D119" i="14"/>
  <c r="D140" i="15"/>
  <c r="D140" i="14"/>
  <c r="D105" i="5"/>
  <c r="D98" i="14"/>
  <c r="D98" i="15"/>
  <c r="D35" i="5"/>
  <c r="D28" i="14"/>
  <c r="D28" i="15"/>
  <c r="D21" i="5"/>
  <c r="D14" i="15"/>
  <c r="D14" i="14"/>
  <c r="D154" i="14"/>
  <c r="D154" i="15"/>
  <c r="C12" i="14"/>
  <c r="C6" i="14"/>
  <c r="C7" i="15"/>
  <c r="D175" i="5"/>
  <c r="F175" i="5"/>
  <c r="E175" i="5"/>
  <c r="D168" i="5"/>
  <c r="E168" i="5"/>
  <c r="F168" i="5"/>
  <c r="D161" i="5"/>
  <c r="E161" i="5"/>
  <c r="F161" i="5"/>
  <c r="D147" i="5"/>
  <c r="E147" i="5"/>
  <c r="F147" i="5"/>
  <c r="D140" i="5"/>
  <c r="F140" i="5"/>
  <c r="E140" i="5"/>
  <c r="D154" i="5"/>
  <c r="E154" i="5"/>
  <c r="F154" i="5"/>
  <c r="D133" i="5"/>
  <c r="E133" i="5"/>
  <c r="F133" i="5"/>
  <c r="D119" i="5"/>
  <c r="E119" i="5"/>
  <c r="F119" i="5"/>
  <c r="D126" i="5"/>
  <c r="F126" i="5"/>
  <c r="E126" i="5"/>
  <c r="D98" i="5"/>
  <c r="E98" i="5"/>
  <c r="F98" i="5"/>
  <c r="D91" i="5"/>
  <c r="F91" i="5"/>
  <c r="E91" i="5"/>
  <c r="D84" i="5"/>
  <c r="E84" i="5"/>
  <c r="F84" i="5"/>
  <c r="D77" i="5"/>
  <c r="E77" i="5"/>
  <c r="F77" i="5"/>
  <c r="D70" i="5"/>
  <c r="F70" i="5"/>
  <c r="E70" i="5"/>
  <c r="E63" i="5"/>
  <c r="F63" i="5"/>
  <c r="F56" i="5"/>
  <c r="E56" i="5"/>
  <c r="E49" i="5"/>
  <c r="F49" i="5"/>
  <c r="E35" i="5"/>
  <c r="F35" i="5"/>
  <c r="E28" i="5"/>
  <c r="F28" i="5"/>
  <c r="E21" i="5"/>
  <c r="F21" i="5"/>
  <c r="F14" i="5"/>
  <c r="E14" i="5"/>
  <c r="F105" i="5"/>
  <c r="E105" i="5"/>
  <c r="F112" i="5"/>
  <c r="E112" i="5"/>
  <c r="C13" i="15"/>
  <c r="E213" i="5"/>
  <c r="F213" i="5"/>
  <c r="E183" i="5"/>
  <c r="D184" i="5"/>
  <c r="F183" i="5"/>
  <c r="F42" i="5"/>
  <c r="E42" i="5"/>
  <c r="C18" i="15"/>
  <c r="M11" i="5"/>
  <c r="A23" i="16" l="1"/>
  <c r="P22" i="16"/>
  <c r="Q22" i="16" s="1"/>
  <c r="C8" i="15"/>
  <c r="D78" i="15"/>
  <c r="D78" i="14"/>
  <c r="D106" i="5"/>
  <c r="D99" i="14"/>
  <c r="D99" i="15"/>
  <c r="D50" i="5"/>
  <c r="D43" i="14"/>
  <c r="D43" i="15"/>
  <c r="D43" i="5"/>
  <c r="D36" i="14"/>
  <c r="D36" i="15"/>
  <c r="D92" i="15"/>
  <c r="D92" i="14"/>
  <c r="D113" i="14"/>
  <c r="D113" i="15"/>
  <c r="D15" i="5"/>
  <c r="D8" i="15"/>
  <c r="D8" i="14"/>
  <c r="D64" i="15"/>
  <c r="D64" i="14"/>
  <c r="D141" i="15"/>
  <c r="D141" i="14"/>
  <c r="D57" i="5"/>
  <c r="D50" i="14"/>
  <c r="D50" i="15"/>
  <c r="D113" i="5"/>
  <c r="D106" i="14"/>
  <c r="D106" i="15"/>
  <c r="D36" i="5"/>
  <c r="D29" i="15"/>
  <c r="D29" i="14"/>
  <c r="D29" i="5"/>
  <c r="D22" i="15"/>
  <c r="D22" i="14"/>
  <c r="D148" i="15"/>
  <c r="D148" i="14"/>
  <c r="D64" i="5"/>
  <c r="D57" i="15"/>
  <c r="D57" i="14"/>
  <c r="D71" i="15"/>
  <c r="D71" i="14"/>
  <c r="D85" i="15"/>
  <c r="D85" i="14"/>
  <c r="D120" i="15"/>
  <c r="D120" i="14"/>
  <c r="D127" i="15"/>
  <c r="D127" i="14"/>
  <c r="D134" i="15"/>
  <c r="D134" i="14"/>
  <c r="D155" i="14"/>
  <c r="D155" i="15"/>
  <c r="D22" i="5"/>
  <c r="D15" i="15"/>
  <c r="D15" i="14"/>
  <c r="C18" i="14"/>
  <c r="C13" i="14"/>
  <c r="C7" i="14"/>
  <c r="D169" i="5"/>
  <c r="E169" i="5"/>
  <c r="F169" i="5"/>
  <c r="D162" i="5"/>
  <c r="E162" i="5"/>
  <c r="F162" i="5"/>
  <c r="D176" i="5"/>
  <c r="E176" i="5"/>
  <c r="F176" i="5"/>
  <c r="D155" i="5"/>
  <c r="E155" i="5"/>
  <c r="F155" i="5"/>
  <c r="D148" i="5"/>
  <c r="F148" i="5"/>
  <c r="E148" i="5"/>
  <c r="D141" i="5"/>
  <c r="F141" i="5"/>
  <c r="E141" i="5"/>
  <c r="D120" i="5"/>
  <c r="F120" i="5"/>
  <c r="E120" i="5"/>
  <c r="D127" i="5"/>
  <c r="F127" i="5"/>
  <c r="E127" i="5"/>
  <c r="D134" i="5"/>
  <c r="E134" i="5"/>
  <c r="F134" i="5"/>
  <c r="D99" i="5"/>
  <c r="E99" i="5"/>
  <c r="F99" i="5"/>
  <c r="D85" i="5"/>
  <c r="E85" i="5"/>
  <c r="F85" i="5"/>
  <c r="D71" i="5"/>
  <c r="E71" i="5"/>
  <c r="F71" i="5"/>
  <c r="D78" i="5"/>
  <c r="F78" i="5"/>
  <c r="E78" i="5"/>
  <c r="D92" i="5"/>
  <c r="F92" i="5"/>
  <c r="E92" i="5"/>
  <c r="E64" i="5"/>
  <c r="F64" i="5"/>
  <c r="E57" i="5"/>
  <c r="F57" i="5"/>
  <c r="F50" i="5"/>
  <c r="E50" i="5"/>
  <c r="E36" i="5"/>
  <c r="F36" i="5"/>
  <c r="E29" i="5"/>
  <c r="F29" i="5"/>
  <c r="E22" i="5"/>
  <c r="F22" i="5"/>
  <c r="F15" i="5"/>
  <c r="E15" i="5"/>
  <c r="E113" i="5"/>
  <c r="F113" i="5"/>
  <c r="F106" i="5"/>
  <c r="E106" i="5"/>
  <c r="C19" i="15"/>
  <c r="C14" i="15"/>
  <c r="O11" i="5"/>
  <c r="F214" i="5"/>
  <c r="D215" i="5"/>
  <c r="E214" i="5"/>
  <c r="D185" i="5"/>
  <c r="F184" i="5"/>
  <c r="E184" i="5"/>
  <c r="E43" i="5"/>
  <c r="F43" i="5"/>
  <c r="C25" i="15"/>
  <c r="A24" i="16" l="1"/>
  <c r="P23" i="16"/>
  <c r="Q23" i="16" s="1"/>
  <c r="C9" i="15"/>
  <c r="C8" i="14"/>
  <c r="D30" i="5"/>
  <c r="D23" i="15"/>
  <c r="D23" i="14"/>
  <c r="D149" i="15"/>
  <c r="D149" i="14"/>
  <c r="D58" i="5"/>
  <c r="D51" i="14"/>
  <c r="D51" i="15"/>
  <c r="D16" i="5"/>
  <c r="D9" i="15"/>
  <c r="D9" i="14"/>
  <c r="D107" i="5"/>
  <c r="D100" i="15"/>
  <c r="D100" i="14"/>
  <c r="D37" i="5"/>
  <c r="D30" i="15"/>
  <c r="D30" i="14"/>
  <c r="D135" i="15"/>
  <c r="D135" i="14"/>
  <c r="D44" i="5"/>
  <c r="D37" i="15"/>
  <c r="D37" i="14"/>
  <c r="D65" i="5"/>
  <c r="D58" i="14"/>
  <c r="D58" i="15"/>
  <c r="D72" i="15"/>
  <c r="D72" i="14"/>
  <c r="D79" i="15"/>
  <c r="D79" i="14"/>
  <c r="D128" i="15"/>
  <c r="D128" i="14"/>
  <c r="D114" i="14"/>
  <c r="D114" i="15"/>
  <c r="D142" i="15"/>
  <c r="D142" i="14"/>
  <c r="D86" i="15"/>
  <c r="D86" i="14"/>
  <c r="D23" i="5"/>
  <c r="D16" i="15"/>
  <c r="D16" i="14"/>
  <c r="D65" i="15"/>
  <c r="D65" i="14"/>
  <c r="D93" i="15"/>
  <c r="D93" i="14"/>
  <c r="D121" i="14"/>
  <c r="D121" i="15"/>
  <c r="D156" i="15"/>
  <c r="D156" i="14"/>
  <c r="D114" i="5"/>
  <c r="D107" i="15"/>
  <c r="D107" i="14"/>
  <c r="D51" i="5"/>
  <c r="D44" i="14"/>
  <c r="D44" i="15"/>
  <c r="C25" i="14"/>
  <c r="C19" i="14"/>
  <c r="C14" i="14"/>
  <c r="D163" i="5"/>
  <c r="F163" i="5"/>
  <c r="E163" i="5"/>
  <c r="D177" i="5"/>
  <c r="F177" i="5"/>
  <c r="E177" i="5"/>
  <c r="D170" i="5"/>
  <c r="E170" i="5"/>
  <c r="F170" i="5"/>
  <c r="D142" i="5"/>
  <c r="E142" i="5"/>
  <c r="F142" i="5"/>
  <c r="D149" i="5"/>
  <c r="F149" i="5"/>
  <c r="E149" i="5"/>
  <c r="D156" i="5"/>
  <c r="F156" i="5"/>
  <c r="E156" i="5"/>
  <c r="D128" i="5"/>
  <c r="F128" i="5"/>
  <c r="E128" i="5"/>
  <c r="D135" i="5"/>
  <c r="E135" i="5"/>
  <c r="F135" i="5"/>
  <c r="D121" i="5"/>
  <c r="E121" i="5"/>
  <c r="F121" i="5"/>
  <c r="D100" i="5"/>
  <c r="F100" i="5"/>
  <c r="E100" i="5"/>
  <c r="D72" i="5"/>
  <c r="E72" i="5"/>
  <c r="F72" i="5"/>
  <c r="D93" i="5"/>
  <c r="F93" i="5"/>
  <c r="E93" i="5"/>
  <c r="D79" i="5"/>
  <c r="F79" i="5"/>
  <c r="E79" i="5"/>
  <c r="D86" i="5"/>
  <c r="F86" i="5"/>
  <c r="E86" i="5"/>
  <c r="E65" i="5"/>
  <c r="F65" i="5"/>
  <c r="E58" i="5"/>
  <c r="F58" i="5"/>
  <c r="F51" i="5"/>
  <c r="E51" i="5"/>
  <c r="E37" i="5"/>
  <c r="F37" i="5"/>
  <c r="F30" i="5"/>
  <c r="E30" i="5"/>
  <c r="F23" i="5"/>
  <c r="E23" i="5"/>
  <c r="F16" i="5"/>
  <c r="E16" i="5"/>
  <c r="S11" i="5"/>
  <c r="T11" i="5" s="1"/>
  <c r="F107" i="5"/>
  <c r="E107" i="5"/>
  <c r="E114" i="5"/>
  <c r="F114" i="5"/>
  <c r="C20" i="15"/>
  <c r="C15" i="15"/>
  <c r="C26" i="15"/>
  <c r="F215" i="5"/>
  <c r="E215" i="5"/>
  <c r="D216" i="5"/>
  <c r="F185" i="5"/>
  <c r="E185" i="5"/>
  <c r="F44" i="5"/>
  <c r="E44" i="5"/>
  <c r="C32" i="15"/>
  <c r="K10" i="16" l="1"/>
  <c r="A25" i="16"/>
  <c r="P24" i="16"/>
  <c r="Q24" i="16" s="1"/>
  <c r="H4" i="15"/>
  <c r="J27" i="13"/>
  <c r="J15" i="13" s="1"/>
  <c r="C10" i="15"/>
  <c r="C9" i="14"/>
  <c r="D136" i="15"/>
  <c r="D136" i="14"/>
  <c r="D38" i="5"/>
  <c r="D31" i="15"/>
  <c r="D31" i="14"/>
  <c r="D87" i="15"/>
  <c r="D87" i="14"/>
  <c r="D66" i="5"/>
  <c r="D59" i="14"/>
  <c r="D59" i="15"/>
  <c r="D73" i="15"/>
  <c r="D73" i="14"/>
  <c r="D66" i="14"/>
  <c r="D66" i="15"/>
  <c r="D115" i="14"/>
  <c r="D115" i="15"/>
  <c r="D122" i="14"/>
  <c r="D122" i="15"/>
  <c r="D143" i="15"/>
  <c r="D143" i="14"/>
  <c r="D31" i="5"/>
  <c r="D24" i="15"/>
  <c r="D24" i="14"/>
  <c r="D80" i="15"/>
  <c r="D80" i="14"/>
  <c r="D94" i="15"/>
  <c r="D94" i="14"/>
  <c r="D150" i="15"/>
  <c r="D150" i="14"/>
  <c r="D17" i="5"/>
  <c r="D10" i="14"/>
  <c r="D10" i="15"/>
  <c r="D45" i="5"/>
  <c r="D38" i="15"/>
  <c r="D38" i="14"/>
  <c r="D108" i="5"/>
  <c r="D101" i="15"/>
  <c r="D101" i="14"/>
  <c r="D24" i="5"/>
  <c r="D17" i="15"/>
  <c r="D17" i="14"/>
  <c r="D129" i="14"/>
  <c r="D129" i="15"/>
  <c r="D59" i="5"/>
  <c r="D52" i="14"/>
  <c r="D52" i="15"/>
  <c r="D115" i="5"/>
  <c r="D108" i="15"/>
  <c r="D108" i="14"/>
  <c r="D52" i="5"/>
  <c r="D45" i="15"/>
  <c r="D45" i="14"/>
  <c r="C32" i="14"/>
  <c r="C26" i="14"/>
  <c r="C20" i="14"/>
  <c r="C15" i="14"/>
  <c r="H4" i="14"/>
  <c r="F178" i="5"/>
  <c r="D178" i="5"/>
  <c r="E178" i="5"/>
  <c r="E171" i="5"/>
  <c r="D171" i="5"/>
  <c r="F171" i="5"/>
  <c r="F164" i="5"/>
  <c r="D164" i="5"/>
  <c r="E164" i="5"/>
  <c r="F157" i="5"/>
  <c r="D157" i="5"/>
  <c r="E157" i="5"/>
  <c r="F143" i="5"/>
  <c r="D143" i="5"/>
  <c r="E143" i="5"/>
  <c r="E150" i="5"/>
  <c r="D150" i="5"/>
  <c r="F150" i="5"/>
  <c r="F136" i="5"/>
  <c r="D136" i="5"/>
  <c r="E136" i="5"/>
  <c r="F122" i="5"/>
  <c r="D122" i="5"/>
  <c r="E122" i="5"/>
  <c r="F129" i="5"/>
  <c r="D129" i="5"/>
  <c r="E129" i="5"/>
  <c r="F80" i="5"/>
  <c r="D80" i="5"/>
  <c r="E80" i="5"/>
  <c r="F73" i="5"/>
  <c r="D73" i="5"/>
  <c r="E73" i="5"/>
  <c r="F87" i="5"/>
  <c r="D87" i="5"/>
  <c r="E87" i="5"/>
  <c r="F94" i="5"/>
  <c r="D94" i="5"/>
  <c r="E94" i="5"/>
  <c r="F101" i="5"/>
  <c r="D101" i="5"/>
  <c r="E101" i="5"/>
  <c r="F66" i="5"/>
  <c r="E66" i="5"/>
  <c r="E59" i="5"/>
  <c r="F59" i="5"/>
  <c r="F52" i="5"/>
  <c r="E52" i="5"/>
  <c r="F38" i="5"/>
  <c r="E38" i="5"/>
  <c r="E31" i="5"/>
  <c r="F31" i="5"/>
  <c r="F24" i="5"/>
  <c r="E24" i="5"/>
  <c r="F17" i="5"/>
  <c r="E17" i="5"/>
  <c r="J11" i="5"/>
  <c r="F115" i="5"/>
  <c r="E115" i="5"/>
  <c r="F108" i="5"/>
  <c r="E108" i="5"/>
  <c r="C33" i="15"/>
  <c r="C21" i="15"/>
  <c r="C16" i="15"/>
  <c r="C27" i="15"/>
  <c r="E216" i="5"/>
  <c r="F216" i="5"/>
  <c r="D217" i="5"/>
  <c r="D187" i="5"/>
  <c r="F186" i="5"/>
  <c r="E186" i="5"/>
  <c r="F45" i="5"/>
  <c r="E45" i="5"/>
  <c r="C39" i="15"/>
  <c r="A26" i="16" l="1"/>
  <c r="P25" i="16"/>
  <c r="Q25" i="16" s="1"/>
  <c r="W11" i="5"/>
  <c r="H10" i="16"/>
  <c r="C10" i="14"/>
  <c r="C39" i="14"/>
  <c r="C33" i="14"/>
  <c r="C27" i="14"/>
  <c r="C21" i="14"/>
  <c r="C16" i="14"/>
  <c r="AC12" i="5"/>
  <c r="AD12" i="5" s="1"/>
  <c r="U11" i="5"/>
  <c r="C40" i="15"/>
  <c r="C34" i="15"/>
  <c r="C22" i="15"/>
  <c r="C17" i="15"/>
  <c r="C28" i="15"/>
  <c r="F217" i="5"/>
  <c r="E217" i="5"/>
  <c r="D218" i="5"/>
  <c r="D188" i="5"/>
  <c r="F187" i="5"/>
  <c r="E187" i="5"/>
  <c r="C46" i="15"/>
  <c r="I10" i="16" l="1"/>
  <c r="A27" i="16"/>
  <c r="P26" i="16"/>
  <c r="Q26" i="16" s="1"/>
  <c r="E4" i="15"/>
  <c r="I27" i="13"/>
  <c r="I15" i="13" s="1"/>
  <c r="C46" i="14"/>
  <c r="C40" i="14"/>
  <c r="C34" i="14"/>
  <c r="C28" i="14"/>
  <c r="C22" i="14"/>
  <c r="C17" i="14"/>
  <c r="E4" i="14"/>
  <c r="B12" i="5"/>
  <c r="C47" i="15"/>
  <c r="C41" i="15"/>
  <c r="C35" i="15"/>
  <c r="C23" i="15"/>
  <c r="C29" i="15"/>
  <c r="D219" i="5"/>
  <c r="E218" i="5"/>
  <c r="F218" i="5"/>
  <c r="E188" i="5"/>
  <c r="F188" i="5"/>
  <c r="D189" i="5"/>
  <c r="C53" i="15"/>
  <c r="X12" i="5" l="1"/>
  <c r="AE12" i="5"/>
  <c r="A28" i="16"/>
  <c r="P27" i="16"/>
  <c r="Q27" i="16" s="1"/>
  <c r="H28" i="13"/>
  <c r="C53" i="14"/>
  <c r="C47" i="14"/>
  <c r="C41" i="14"/>
  <c r="C35" i="14"/>
  <c r="C29" i="14"/>
  <c r="C23" i="14"/>
  <c r="B5" i="14"/>
  <c r="G5" i="14" s="1"/>
  <c r="B5" i="15"/>
  <c r="G5" i="15" s="1"/>
  <c r="G12" i="5"/>
  <c r="R12" i="5"/>
  <c r="V12" i="5"/>
  <c r="K12" i="5"/>
  <c r="M12" i="5" s="1"/>
  <c r="O12" i="5" s="1"/>
  <c r="P12" i="5"/>
  <c r="Q12" i="5" s="1"/>
  <c r="C54" i="15"/>
  <c r="C48" i="15"/>
  <c r="C42" i="15"/>
  <c r="C36" i="15"/>
  <c r="C24" i="15"/>
  <c r="C30" i="15"/>
  <c r="F219" i="5"/>
  <c r="E219" i="5"/>
  <c r="D220" i="5"/>
  <c r="D190" i="5"/>
  <c r="F189" i="5"/>
  <c r="E189" i="5"/>
  <c r="C60" i="15"/>
  <c r="H12" i="5" l="1"/>
  <c r="K28" i="13" s="1"/>
  <c r="A29" i="16"/>
  <c r="P28" i="16"/>
  <c r="Q28" i="16" s="1"/>
  <c r="C60" i="14"/>
  <c r="C54" i="14"/>
  <c r="C48" i="14"/>
  <c r="C42" i="14"/>
  <c r="C36" i="14"/>
  <c r="C30" i="14"/>
  <c r="C24" i="14"/>
  <c r="F5" i="14"/>
  <c r="F5" i="15"/>
  <c r="S12" i="5"/>
  <c r="Y12" i="5" s="1"/>
  <c r="C61" i="15"/>
  <c r="C55" i="15"/>
  <c r="C49" i="15"/>
  <c r="C43" i="15"/>
  <c r="C37" i="15"/>
  <c r="C31" i="15"/>
  <c r="E220" i="5"/>
  <c r="F220" i="5"/>
  <c r="D191" i="5"/>
  <c r="E190" i="5"/>
  <c r="F190" i="5"/>
  <c r="C67" i="15"/>
  <c r="J12" i="5" l="1"/>
  <c r="A30" i="16"/>
  <c r="P29" i="16"/>
  <c r="Q29" i="16" s="1"/>
  <c r="C67" i="14"/>
  <c r="C61" i="14"/>
  <c r="C55" i="14"/>
  <c r="C49" i="14"/>
  <c r="C43" i="14"/>
  <c r="C37" i="14"/>
  <c r="C31" i="14"/>
  <c r="D222" i="5"/>
  <c r="D221" i="5"/>
  <c r="T12" i="5"/>
  <c r="C68" i="15"/>
  <c r="C62" i="15"/>
  <c r="C56" i="15"/>
  <c r="C50" i="15"/>
  <c r="C44" i="15"/>
  <c r="C38" i="15"/>
  <c r="F221" i="5"/>
  <c r="E221" i="5"/>
  <c r="D192" i="5"/>
  <c r="E191" i="5"/>
  <c r="F191" i="5"/>
  <c r="C74" i="15"/>
  <c r="W12" i="5" l="1"/>
  <c r="AC13" i="5"/>
  <c r="AD13" i="5" s="1"/>
  <c r="A31" i="16"/>
  <c r="P30" i="16"/>
  <c r="Q30" i="16" s="1"/>
  <c r="H5" i="15"/>
  <c r="J28" i="13"/>
  <c r="C74" i="14"/>
  <c r="C68" i="14"/>
  <c r="C62" i="14"/>
  <c r="C56" i="14"/>
  <c r="C50" i="14"/>
  <c r="C44" i="14"/>
  <c r="C38" i="14"/>
  <c r="U12" i="5"/>
  <c r="H5" i="14"/>
  <c r="F222" i="5"/>
  <c r="E222" i="5"/>
  <c r="C75" i="15"/>
  <c r="C69" i="15"/>
  <c r="C63" i="15"/>
  <c r="C57" i="15"/>
  <c r="C51" i="15"/>
  <c r="C45" i="15"/>
  <c r="F192" i="5"/>
  <c r="E192" i="5"/>
  <c r="C81" i="15"/>
  <c r="A32" i="16" l="1"/>
  <c r="P31" i="16"/>
  <c r="Q31" i="16" s="1"/>
  <c r="I28" i="13"/>
  <c r="C81" i="14"/>
  <c r="C75" i="14"/>
  <c r="C69" i="14"/>
  <c r="C63" i="14"/>
  <c r="C57" i="14"/>
  <c r="C51" i="14"/>
  <c r="C45" i="14"/>
  <c r="E5" i="14"/>
  <c r="E5" i="15"/>
  <c r="B13" i="5"/>
  <c r="C82" i="15"/>
  <c r="C76" i="15"/>
  <c r="C70" i="15"/>
  <c r="C64" i="15"/>
  <c r="C58" i="15"/>
  <c r="C52" i="15"/>
  <c r="E193" i="5"/>
  <c r="F193" i="5"/>
  <c r="D194" i="5"/>
  <c r="X13" i="5" l="1"/>
  <c r="AE13" i="5"/>
  <c r="A33" i="16"/>
  <c r="P32" i="16"/>
  <c r="Q32" i="16" s="1"/>
  <c r="H29" i="13"/>
  <c r="C88" i="14"/>
  <c r="C88" i="15"/>
  <c r="C82" i="14"/>
  <c r="C76" i="14"/>
  <c r="C70" i="14"/>
  <c r="C64" i="14"/>
  <c r="C58" i="14"/>
  <c r="C52" i="14"/>
  <c r="B6" i="14"/>
  <c r="G6" i="14" s="1"/>
  <c r="B6" i="15"/>
  <c r="G6" i="15" s="1"/>
  <c r="K13" i="5"/>
  <c r="M13" i="5" s="1"/>
  <c r="O13" i="5" s="1"/>
  <c r="P13" i="5"/>
  <c r="Q13" i="5" s="1"/>
  <c r="V13" i="5"/>
  <c r="R13" i="5"/>
  <c r="G13" i="5"/>
  <c r="C83" i="15"/>
  <c r="C77" i="15"/>
  <c r="C71" i="15"/>
  <c r="C65" i="15"/>
  <c r="C59" i="15"/>
  <c r="E194" i="5"/>
  <c r="F194" i="5"/>
  <c r="A34" i="16" l="1"/>
  <c r="P33" i="16"/>
  <c r="Q33" i="16" s="1"/>
  <c r="C95" i="15"/>
  <c r="C95" i="14"/>
  <c r="C89" i="14"/>
  <c r="C89" i="15"/>
  <c r="C83" i="14"/>
  <c r="C77" i="14"/>
  <c r="C71" i="14"/>
  <c r="C65" i="14"/>
  <c r="C59" i="14"/>
  <c r="I6" i="14"/>
  <c r="I6" i="15"/>
  <c r="F6" i="14"/>
  <c r="F6" i="15"/>
  <c r="S13" i="5"/>
  <c r="Y13" i="5" s="1"/>
  <c r="Z13" i="5" s="1"/>
  <c r="H13" i="5" s="1"/>
  <c r="D196" i="5"/>
  <c r="D195" i="5"/>
  <c r="C84" i="15"/>
  <c r="C78" i="15"/>
  <c r="C72" i="15"/>
  <c r="C66" i="15"/>
  <c r="E195" i="5"/>
  <c r="F195" i="5"/>
  <c r="A35" i="16" l="1"/>
  <c r="P34" i="16"/>
  <c r="Q34" i="16" s="1"/>
  <c r="J13" i="5"/>
  <c r="K29" i="13"/>
  <c r="C102" i="15"/>
  <c r="C102" i="14"/>
  <c r="C96" i="15"/>
  <c r="C96" i="14"/>
  <c r="C90" i="14"/>
  <c r="C90" i="15"/>
  <c r="C84" i="14"/>
  <c r="C78" i="14"/>
  <c r="C72" i="14"/>
  <c r="C66" i="14"/>
  <c r="T13" i="5"/>
  <c r="E196" i="5"/>
  <c r="F196" i="5"/>
  <c r="D197" i="5"/>
  <c r="C85" i="15"/>
  <c r="C79" i="15"/>
  <c r="C73" i="15"/>
  <c r="A36" i="16" l="1"/>
  <c r="P35" i="16"/>
  <c r="Q35" i="16" s="1"/>
  <c r="W13" i="5"/>
  <c r="AA13" i="5" s="1"/>
  <c r="AC14" i="5"/>
  <c r="AD14" i="5" s="1"/>
  <c r="J29" i="13"/>
  <c r="C103" i="15"/>
  <c r="C103" i="14"/>
  <c r="C109" i="15"/>
  <c r="C109" i="14"/>
  <c r="C97" i="14"/>
  <c r="C97" i="15"/>
  <c r="D198" i="5"/>
  <c r="C91" i="15"/>
  <c r="C91" i="14"/>
  <c r="E197" i="5"/>
  <c r="C85" i="14"/>
  <c r="C79" i="14"/>
  <c r="C73" i="14"/>
  <c r="H6" i="14"/>
  <c r="H6" i="15"/>
  <c r="U13" i="5"/>
  <c r="F197" i="5"/>
  <c r="C86" i="15"/>
  <c r="C80" i="15"/>
  <c r="A37" i="16" l="1"/>
  <c r="P36" i="16"/>
  <c r="Q36" i="16" s="1"/>
  <c r="I29" i="13"/>
  <c r="C98" i="14"/>
  <c r="C98" i="15"/>
  <c r="F198" i="5"/>
  <c r="E198" i="5"/>
  <c r="C110" i="15"/>
  <c r="C110" i="14"/>
  <c r="C104" i="14"/>
  <c r="C104" i="15"/>
  <c r="C92" i="15"/>
  <c r="C92" i="14"/>
  <c r="C116" i="15"/>
  <c r="C116" i="14"/>
  <c r="D199" i="5"/>
  <c r="C86" i="14"/>
  <c r="C80" i="14"/>
  <c r="E6" i="14"/>
  <c r="E6" i="15"/>
  <c r="B14" i="5"/>
  <c r="C87" i="15"/>
  <c r="AE14" i="5" l="1"/>
  <c r="A38" i="16"/>
  <c r="P37" i="16"/>
  <c r="Q37" i="16" s="1"/>
  <c r="H30" i="13"/>
  <c r="C105" i="15"/>
  <c r="C105" i="14"/>
  <c r="E199" i="5"/>
  <c r="C111" i="15"/>
  <c r="C111" i="14"/>
  <c r="C99" i="15"/>
  <c r="C99" i="14"/>
  <c r="C123" i="15"/>
  <c r="C123" i="14"/>
  <c r="F199" i="5"/>
  <c r="C117" i="15"/>
  <c r="C117" i="14"/>
  <c r="C93" i="14"/>
  <c r="C93" i="15"/>
  <c r="C87" i="14"/>
  <c r="G14" i="5"/>
  <c r="B7" i="15"/>
  <c r="G7" i="15" s="1"/>
  <c r="K14" i="5"/>
  <c r="M14" i="5" s="1"/>
  <c r="O14" i="5" s="1"/>
  <c r="R14" i="5"/>
  <c r="V14" i="5"/>
  <c r="B7" i="14"/>
  <c r="G7" i="14" s="1"/>
  <c r="P14" i="5"/>
  <c r="Q14" i="5" s="1"/>
  <c r="X14" i="5"/>
  <c r="D202" i="5"/>
  <c r="D201" i="5"/>
  <c r="E201" i="5"/>
  <c r="F201" i="5"/>
  <c r="E200" i="5"/>
  <c r="F200" i="5"/>
  <c r="A39" i="16" l="1"/>
  <c r="P38" i="16"/>
  <c r="Q38" i="16" s="1"/>
  <c r="C130" i="14"/>
  <c r="C130" i="15"/>
  <c r="C112" i="15"/>
  <c r="C112" i="14"/>
  <c r="C100" i="15"/>
  <c r="C100" i="14"/>
  <c r="C118" i="15"/>
  <c r="C118" i="14"/>
  <c r="C106" i="14"/>
  <c r="C106" i="15"/>
  <c r="C94" i="15"/>
  <c r="C94" i="14"/>
  <c r="C124" i="15"/>
  <c r="C124" i="14"/>
  <c r="I7" i="14"/>
  <c r="I7" i="15"/>
  <c r="S14" i="5"/>
  <c r="Y14" i="5" s="1"/>
  <c r="Z14" i="5" s="1"/>
  <c r="H14" i="5" s="1"/>
  <c r="F7" i="14"/>
  <c r="F7" i="15"/>
  <c r="D203" i="5"/>
  <c r="E202" i="5"/>
  <c r="F202" i="5"/>
  <c r="A40" i="16" l="1"/>
  <c r="P40" i="16" s="1"/>
  <c r="Q40" i="16" s="1"/>
  <c r="P39" i="16"/>
  <c r="Q39" i="16" s="1"/>
  <c r="J14" i="5"/>
  <c r="K30" i="13"/>
  <c r="C125" i="15"/>
  <c r="C125" i="14"/>
  <c r="C137" i="15"/>
  <c r="C137" i="14"/>
  <c r="C107" i="15"/>
  <c r="C107" i="14"/>
  <c r="C101" i="15"/>
  <c r="C101" i="14"/>
  <c r="C113" i="15"/>
  <c r="C113" i="14"/>
  <c r="C119" i="15"/>
  <c r="C119" i="14"/>
  <c r="C131" i="15"/>
  <c r="C131" i="14"/>
  <c r="T14" i="5"/>
  <c r="D204" i="5"/>
  <c r="E203" i="5"/>
  <c r="F203" i="5"/>
  <c r="AC15" i="5" l="1"/>
  <c r="AD15" i="5" s="1"/>
  <c r="W14" i="5"/>
  <c r="H7" i="15"/>
  <c r="J30" i="13"/>
  <c r="C120" i="15"/>
  <c r="C120" i="14"/>
  <c r="C144" i="15"/>
  <c r="C144" i="14"/>
  <c r="C138" i="14"/>
  <c r="C138" i="15"/>
  <c r="C114" i="14"/>
  <c r="C114" i="15"/>
  <c r="C108" i="15"/>
  <c r="C108" i="14"/>
  <c r="C132" i="15"/>
  <c r="C132" i="14"/>
  <c r="C126" i="15"/>
  <c r="C126" i="14"/>
  <c r="H7" i="14"/>
  <c r="U14" i="5"/>
  <c r="F204" i="5"/>
  <c r="E204" i="5"/>
  <c r="D205" i="5"/>
  <c r="AA14" i="5" l="1"/>
  <c r="B15" i="5"/>
  <c r="I30" i="13"/>
  <c r="E7" i="15"/>
  <c r="E7" i="14"/>
  <c r="C151" i="15"/>
  <c r="C151" i="14"/>
  <c r="C133" i="15"/>
  <c r="C133" i="14"/>
  <c r="C145" i="15"/>
  <c r="C145" i="14"/>
  <c r="C139" i="15"/>
  <c r="C139" i="14"/>
  <c r="C127" i="15"/>
  <c r="C127" i="14"/>
  <c r="C115" i="15"/>
  <c r="C115" i="14"/>
  <c r="C121" i="15"/>
  <c r="C121" i="14"/>
  <c r="F205" i="5"/>
  <c r="D206" i="5"/>
  <c r="E205" i="5"/>
  <c r="K15" i="5" l="1"/>
  <c r="M15" i="5" s="1"/>
  <c r="O15" i="5" s="1"/>
  <c r="AE15" i="5"/>
  <c r="V15" i="5"/>
  <c r="P15" i="5"/>
  <c r="Q15" i="5" s="1"/>
  <c r="R15" i="5"/>
  <c r="B8" i="15"/>
  <c r="G8" i="15" s="1"/>
  <c r="G15" i="5"/>
  <c r="B8" i="14"/>
  <c r="G8" i="14" s="1"/>
  <c r="X15" i="5"/>
  <c r="H31" i="13"/>
  <c r="C146" i="14"/>
  <c r="C146" i="15"/>
  <c r="C128" i="15"/>
  <c r="C128" i="14"/>
  <c r="C134" i="15"/>
  <c r="C134" i="14"/>
  <c r="C122" i="14"/>
  <c r="C122" i="15"/>
  <c r="C140" i="15"/>
  <c r="C140" i="14"/>
  <c r="C152" i="15"/>
  <c r="C152" i="14"/>
  <c r="E206" i="5"/>
  <c r="F206" i="5"/>
  <c r="S15" i="5" l="1"/>
  <c r="Y15" i="5" s="1"/>
  <c r="Z15" i="5" s="1"/>
  <c r="H15" i="5" s="1"/>
  <c r="F8" i="15"/>
  <c r="F8" i="14"/>
  <c r="I8" i="15"/>
  <c r="I8" i="14"/>
  <c r="C135" i="15"/>
  <c r="C135" i="14"/>
  <c r="C129" i="15"/>
  <c r="C129" i="14"/>
  <c r="C153" i="15"/>
  <c r="C153" i="14"/>
  <c r="C141" i="15"/>
  <c r="C141" i="14"/>
  <c r="C147" i="15"/>
  <c r="C147" i="14"/>
  <c r="J15" i="5" l="1"/>
  <c r="K31" i="13"/>
  <c r="T15" i="5"/>
  <c r="C148" i="15"/>
  <c r="C148" i="14"/>
  <c r="C154" i="14"/>
  <c r="C154" i="15"/>
  <c r="C142" i="15"/>
  <c r="C142" i="14"/>
  <c r="C136" i="14"/>
  <c r="C136" i="15"/>
  <c r="H8" i="14" l="1"/>
  <c r="W15" i="5"/>
  <c r="AA15" i="5" s="1"/>
  <c r="AC16" i="5"/>
  <c r="AD16" i="5" s="1"/>
  <c r="H8" i="15"/>
  <c r="U15" i="5"/>
  <c r="J31" i="13"/>
  <c r="C143" i="15"/>
  <c r="C143" i="14"/>
  <c r="C155" i="15"/>
  <c r="C155" i="14"/>
  <c r="C149" i="15"/>
  <c r="C149" i="14"/>
  <c r="E8" i="14" l="1"/>
  <c r="B16" i="5"/>
  <c r="E8" i="15"/>
  <c r="I31" i="13"/>
  <c r="C150" i="15"/>
  <c r="C150" i="14"/>
  <c r="C156" i="15"/>
  <c r="C156" i="14"/>
  <c r="G16" i="5" l="1"/>
  <c r="AE16" i="5"/>
  <c r="H32" i="13"/>
  <c r="V16" i="5"/>
  <c r="B9" i="14"/>
  <c r="G9" i="14" s="1"/>
  <c r="X16" i="5"/>
  <c r="P16" i="5"/>
  <c r="Q16" i="5" s="1"/>
  <c r="B9" i="15"/>
  <c r="G9" i="15" s="1"/>
  <c r="R16" i="5"/>
  <c r="K16" i="5"/>
  <c r="M16" i="5" s="1"/>
  <c r="O16" i="5" s="1"/>
  <c r="F9" i="14" l="1"/>
  <c r="I9" i="15"/>
  <c r="I9" i="14"/>
  <c r="S16" i="5"/>
  <c r="T16" i="5" s="1"/>
  <c r="F9" i="15"/>
  <c r="H9" i="14" l="1"/>
  <c r="J32" i="13"/>
  <c r="Y16" i="5"/>
  <c r="Z16" i="5" s="1"/>
  <c r="H16" i="5" s="1"/>
  <c r="H9" i="15"/>
  <c r="J16" i="5" l="1"/>
  <c r="K32" i="13"/>
  <c r="L17" i="5"/>
  <c r="U16" i="5" l="1"/>
  <c r="I32" i="13" s="1"/>
  <c r="W16" i="5"/>
  <c r="AC17" i="5"/>
  <c r="AD17" i="5" s="1"/>
  <c r="AA16" i="5" l="1"/>
  <c r="E9" i="15"/>
  <c r="B17" i="5"/>
  <c r="E9" i="14"/>
  <c r="P17" i="5" l="1"/>
  <c r="Q17" i="5" s="1"/>
  <c r="AE17" i="5"/>
  <c r="K17" i="5"/>
  <c r="M17" i="5" s="1"/>
  <c r="O17" i="5" s="1"/>
  <c r="G17" i="5"/>
  <c r="X17" i="5"/>
  <c r="V17" i="5"/>
  <c r="B10" i="15"/>
  <c r="G10" i="15" s="1"/>
  <c r="B10" i="14"/>
  <c r="G10" i="14" s="1"/>
  <c r="H33" i="13"/>
  <c r="R17" i="5"/>
  <c r="I10" i="14" l="1"/>
  <c r="F10" i="14"/>
  <c r="S17" i="5"/>
  <c r="T17" i="5" s="1"/>
  <c r="F10" i="15"/>
  <c r="I10" i="15"/>
  <c r="H10" i="14" l="1"/>
  <c r="Y17" i="5"/>
  <c r="Z17" i="5" s="1"/>
  <c r="H17" i="5" s="1"/>
  <c r="J17" i="5" s="1"/>
  <c r="H10" i="15"/>
  <c r="J33" i="13"/>
  <c r="K33" i="13" l="1"/>
  <c r="W17" i="5"/>
  <c r="N11" i="16" s="1"/>
  <c r="U17" i="5"/>
  <c r="AC18" i="5"/>
  <c r="AD18" i="5" s="1"/>
  <c r="O11" i="16" s="1"/>
  <c r="L18" i="5"/>
  <c r="B18" i="5" l="1"/>
  <c r="AE18" i="5"/>
  <c r="AA17" i="5"/>
  <c r="E10" i="15"/>
  <c r="E10" i="14"/>
  <c r="I33" i="13"/>
  <c r="P18" i="5" l="1"/>
  <c r="Q18" i="5" s="1"/>
  <c r="B11" i="14"/>
  <c r="G11" i="14" s="1"/>
  <c r="K18" i="5"/>
  <c r="M18" i="5" s="1"/>
  <c r="O18" i="5" s="1"/>
  <c r="B11" i="15"/>
  <c r="G11" i="15" s="1"/>
  <c r="G18" i="5"/>
  <c r="X18" i="5"/>
  <c r="L11" i="16" s="1"/>
  <c r="V18" i="5"/>
  <c r="F11" i="14" s="1"/>
  <c r="B11" i="16"/>
  <c r="H34" i="13"/>
  <c r="R18" i="5"/>
  <c r="C11" i="16" l="1"/>
  <c r="D11" i="16"/>
  <c r="S18" i="5"/>
  <c r="T18" i="5" s="1"/>
  <c r="K11" i="16" s="1"/>
  <c r="F11" i="15"/>
  <c r="I11" i="14"/>
  <c r="J11" i="16"/>
  <c r="I11" i="15"/>
  <c r="Y18" i="5" l="1"/>
  <c r="Z18" i="5" s="1"/>
  <c r="H18" i="5" s="1"/>
  <c r="K34" i="13" s="1"/>
  <c r="H11" i="14"/>
  <c r="J34" i="13"/>
  <c r="H11" i="15"/>
  <c r="L19" i="5" l="1"/>
  <c r="J18" i="5"/>
  <c r="H11" i="16" s="1"/>
  <c r="W18" i="5" l="1"/>
  <c r="AC19" i="5"/>
  <c r="AD19" i="5" s="1"/>
  <c r="U18" i="5"/>
  <c r="I11" i="16" s="1"/>
  <c r="AA18" i="5" l="1"/>
  <c r="E11" i="14"/>
  <c r="I34" i="13"/>
  <c r="E11" i="15"/>
  <c r="B19" i="5"/>
  <c r="AE19" i="5"/>
  <c r="K19" i="5" l="1"/>
  <c r="M19" i="5" s="1"/>
  <c r="O19" i="5" s="1"/>
  <c r="R19" i="5"/>
  <c r="B12" i="15"/>
  <c r="G12" i="15" s="1"/>
  <c r="P19" i="5"/>
  <c r="Q19" i="5" s="1"/>
  <c r="V19" i="5"/>
  <c r="B12" i="14"/>
  <c r="G12" i="14" s="1"/>
  <c r="X19" i="5"/>
  <c r="G19" i="5"/>
  <c r="H35" i="13"/>
  <c r="S19" i="5" l="1"/>
  <c r="T19" i="5" s="1"/>
  <c r="F12" i="15"/>
  <c r="F12" i="14"/>
  <c r="I12" i="15"/>
  <c r="I12" i="14"/>
  <c r="H12" i="15" l="1"/>
  <c r="Y19" i="5"/>
  <c r="Z19" i="5" s="1"/>
  <c r="H19" i="5" s="1"/>
  <c r="J19" i="5" s="1"/>
  <c r="H12" i="14"/>
  <c r="J35" i="13"/>
  <c r="L20" i="5" l="1"/>
  <c r="K35" i="13"/>
  <c r="AC20" i="5"/>
  <c r="AD20" i="5" s="1"/>
  <c r="W19" i="5"/>
  <c r="AA19" i="5" s="1"/>
  <c r="U19" i="5"/>
  <c r="I35" i="13" l="1"/>
  <c r="B20" i="5"/>
  <c r="E12" i="14"/>
  <c r="E12" i="15"/>
  <c r="R20" i="5" l="1"/>
  <c r="AE20" i="5"/>
  <c r="V20" i="5"/>
  <c r="K20" i="5"/>
  <c r="M20" i="5" s="1"/>
  <c r="O20" i="5" s="1"/>
  <c r="X20" i="5"/>
  <c r="H36" i="13"/>
  <c r="B13" i="15"/>
  <c r="G13" i="15" s="1"/>
  <c r="B13" i="14"/>
  <c r="G13" i="14" s="1"/>
  <c r="P20" i="5"/>
  <c r="Q20" i="5" s="1"/>
  <c r="G20" i="5"/>
  <c r="I13" i="15" l="1"/>
  <c r="F13" i="15"/>
  <c r="F13" i="14"/>
  <c r="I13" i="14"/>
  <c r="S20" i="5"/>
  <c r="Y20" i="5" s="1"/>
  <c r="Z20" i="5" s="1"/>
  <c r="H20" i="5" s="1"/>
  <c r="K36" i="13" s="1"/>
  <c r="T20" i="5" l="1"/>
  <c r="L21" i="5"/>
  <c r="J20" i="5"/>
  <c r="H13" i="15" l="1"/>
  <c r="J36" i="13"/>
  <c r="H13" i="14"/>
  <c r="U20" i="5"/>
  <c r="W20" i="5"/>
  <c r="AC21" i="5"/>
  <c r="AD21" i="5" s="1"/>
  <c r="AA20" i="5" l="1"/>
  <c r="B21" i="5"/>
  <c r="E13" i="14"/>
  <c r="I36" i="13"/>
  <c r="E13" i="15"/>
  <c r="H37" i="13" l="1"/>
  <c r="AE21" i="5"/>
  <c r="K21" i="5"/>
  <c r="M21" i="5" s="1"/>
  <c r="O21" i="5" s="1"/>
  <c r="G21" i="5"/>
  <c r="R21" i="5"/>
  <c r="P21" i="5"/>
  <c r="Q21" i="5" s="1"/>
  <c r="B14" i="14"/>
  <c r="G14" i="14" s="1"/>
  <c r="B14" i="15"/>
  <c r="G14" i="15" s="1"/>
  <c r="X21" i="5"/>
  <c r="V21" i="5"/>
  <c r="I14" i="15" l="1"/>
  <c r="S21" i="5"/>
  <c r="Y21" i="5" s="1"/>
  <c r="Z21" i="5" s="1"/>
  <c r="H21" i="5" s="1"/>
  <c r="K37" i="13" s="1"/>
  <c r="I14" i="14"/>
  <c r="F14" i="15"/>
  <c r="F14" i="14"/>
  <c r="T21" i="5" l="1"/>
  <c r="L22" i="5"/>
  <c r="J21" i="5"/>
  <c r="U21" i="5" l="1"/>
  <c r="W21" i="5"/>
  <c r="AA21" i="5" s="1"/>
  <c r="H14" i="15"/>
  <c r="AC22" i="5"/>
  <c r="AD22" i="5" s="1"/>
  <c r="H14" i="14"/>
  <c r="J37" i="13"/>
  <c r="I37" i="13" l="1"/>
  <c r="E14" i="15"/>
  <c r="E14" i="14"/>
  <c r="B22" i="5"/>
  <c r="V22" i="5" l="1"/>
  <c r="F15" i="15" s="1"/>
  <c r="AE22" i="5"/>
  <c r="H38" i="13"/>
  <c r="B15" i="15"/>
  <c r="G15" i="15" s="1"/>
  <c r="B15" i="14"/>
  <c r="G15" i="14" s="1"/>
  <c r="X22" i="5"/>
  <c r="I15" i="14" s="1"/>
  <c r="R22" i="5"/>
  <c r="G22" i="5"/>
  <c r="P22" i="5"/>
  <c r="Q22" i="5" s="1"/>
  <c r="K22" i="5"/>
  <c r="M22" i="5" s="1"/>
  <c r="O22" i="5" s="1"/>
  <c r="F15" i="14" l="1"/>
  <c r="I15" i="15"/>
  <c r="S22" i="5"/>
  <c r="Y22" i="5" s="1"/>
  <c r="Z22" i="5" s="1"/>
  <c r="H22" i="5" s="1"/>
  <c r="K38" i="13" s="1"/>
  <c r="T22" i="5" l="1"/>
  <c r="J22" i="5"/>
  <c r="L23" i="5"/>
  <c r="H15" i="15" l="1"/>
  <c r="H15" i="14"/>
  <c r="J38" i="13"/>
  <c r="W22" i="5"/>
  <c r="AC23" i="5"/>
  <c r="AD23" i="5" s="1"/>
  <c r="U22" i="5"/>
  <c r="I38" i="13" l="1"/>
  <c r="E15" i="14"/>
  <c r="E15" i="15"/>
  <c r="B23" i="5"/>
  <c r="AA22" i="5"/>
  <c r="AE23" i="5" l="1"/>
  <c r="B16" i="15"/>
  <c r="G16" i="15" s="1"/>
  <c r="H39" i="13"/>
  <c r="X23" i="5"/>
  <c r="B16" i="14"/>
  <c r="G16" i="14" s="1"/>
  <c r="K23" i="5"/>
  <c r="M23" i="5" s="1"/>
  <c r="O23" i="5" s="1"/>
  <c r="P23" i="5"/>
  <c r="Q23" i="5" s="1"/>
  <c r="R23" i="5"/>
  <c r="V23" i="5"/>
  <c r="G23" i="5"/>
  <c r="F16" i="14" l="1"/>
  <c r="F16" i="15"/>
  <c r="I16" i="14"/>
  <c r="I16" i="15"/>
  <c r="S23" i="5"/>
  <c r="T23" i="5" s="1"/>
  <c r="J39" i="13" l="1"/>
  <c r="H16" i="14"/>
  <c r="H16" i="15"/>
  <c r="Y23" i="5"/>
  <c r="Z23" i="5" s="1"/>
  <c r="H23" i="5" s="1"/>
  <c r="J23" i="5" l="1"/>
  <c r="K39" i="13"/>
  <c r="L24" i="5"/>
  <c r="W23" i="5" l="1"/>
  <c r="AA23" i="5" s="1"/>
  <c r="AC24" i="5"/>
  <c r="AD24" i="5" s="1"/>
  <c r="U23" i="5"/>
  <c r="B24" i="5" l="1"/>
  <c r="E16" i="15"/>
  <c r="E16" i="14"/>
  <c r="I39" i="13"/>
  <c r="V24" i="5" l="1"/>
  <c r="AE24" i="5"/>
  <c r="G24" i="5"/>
  <c r="B17" i="14"/>
  <c r="G17" i="14" s="1"/>
  <c r="X24" i="5"/>
  <c r="H40" i="13"/>
  <c r="K24" i="5"/>
  <c r="M24" i="5" s="1"/>
  <c r="O24" i="5" s="1"/>
  <c r="B17" i="15"/>
  <c r="G17" i="15" s="1"/>
  <c r="R24" i="5"/>
  <c r="P24" i="5"/>
  <c r="Q24" i="5" s="1"/>
  <c r="F17" i="15" l="1"/>
  <c r="F17" i="14"/>
  <c r="S24" i="5"/>
  <c r="T24" i="5" s="1"/>
  <c r="I17" i="15"/>
  <c r="I17" i="14"/>
  <c r="J40" i="13" l="1"/>
  <c r="H17" i="14"/>
  <c r="H17" i="15"/>
  <c r="Y24" i="5"/>
  <c r="Z24" i="5" s="1"/>
  <c r="H24" i="5" s="1"/>
  <c r="K40" i="13" s="1"/>
  <c r="J24" i="5" l="1"/>
  <c r="L25" i="5"/>
  <c r="W24" i="5" l="1"/>
  <c r="U24" i="5"/>
  <c r="AC25" i="5"/>
  <c r="AD25" i="5" s="1"/>
  <c r="N12" i="16" l="1"/>
  <c r="O12" i="16"/>
  <c r="I40" i="13"/>
  <c r="E17" i="14"/>
  <c r="E17" i="15"/>
  <c r="B25" i="5"/>
  <c r="AA24" i="5"/>
  <c r="V25" i="5" l="1"/>
  <c r="B12" i="16"/>
  <c r="P25" i="5"/>
  <c r="Q25" i="5" s="1"/>
  <c r="B18" i="15"/>
  <c r="G18" i="15" s="1"/>
  <c r="H41" i="13"/>
  <c r="X25" i="5"/>
  <c r="B18" i="14"/>
  <c r="G18" i="14" s="1"/>
  <c r="K25" i="5"/>
  <c r="M25" i="5" s="1"/>
  <c r="O25" i="5" s="1"/>
  <c r="R25" i="5"/>
  <c r="G25" i="5"/>
  <c r="C12" i="16" l="1"/>
  <c r="D12" i="16"/>
  <c r="L12" i="16"/>
  <c r="F18" i="14"/>
  <c r="J12" i="16"/>
  <c r="F18" i="15"/>
  <c r="I18" i="15"/>
  <c r="I18" i="14"/>
  <c r="S25" i="5"/>
  <c r="Y25" i="5" s="1"/>
  <c r="Z25" i="5" s="1"/>
  <c r="H25" i="5" s="1"/>
  <c r="K41" i="13" s="1"/>
  <c r="T25" i="5" l="1"/>
  <c r="L26" i="5"/>
  <c r="K12" i="16" l="1"/>
  <c r="H18" i="15"/>
  <c r="H18" i="14"/>
  <c r="J41" i="13"/>
  <c r="J25" i="5"/>
  <c r="H12" i="16" l="1"/>
  <c r="U25" i="5"/>
  <c r="AC26" i="5"/>
  <c r="AD26" i="5" s="1"/>
  <c r="W25" i="5"/>
  <c r="I12" i="16" l="1"/>
  <c r="I41" i="13"/>
  <c r="E18" i="14"/>
  <c r="E18" i="15"/>
  <c r="AA25" i="5"/>
  <c r="B26" i="5"/>
  <c r="H42" i="13" l="1"/>
  <c r="B19" i="14"/>
  <c r="G19" i="14" s="1"/>
  <c r="B19" i="15"/>
  <c r="G19" i="15" s="1"/>
  <c r="P26" i="5"/>
  <c r="Q26" i="5" s="1"/>
  <c r="V26" i="5"/>
  <c r="G26" i="5"/>
  <c r="R26" i="5"/>
  <c r="K26" i="5"/>
  <c r="M26" i="5" s="1"/>
  <c r="O26" i="5" s="1"/>
  <c r="X26" i="5"/>
  <c r="F19" i="14" l="1"/>
  <c r="F19" i="15"/>
  <c r="I19" i="14"/>
  <c r="I19" i="15"/>
  <c r="S26" i="5"/>
  <c r="T26" i="5" s="1"/>
  <c r="J42" i="13" l="1"/>
  <c r="H19" i="14"/>
  <c r="H19" i="15"/>
  <c r="Y26" i="5"/>
  <c r="Z26" i="5" s="1"/>
  <c r="H26" i="5" s="1"/>
  <c r="J26" i="5" l="1"/>
  <c r="K42" i="13"/>
  <c r="L27" i="5"/>
  <c r="U26" i="5" l="1"/>
  <c r="AC27" i="5"/>
  <c r="AD27" i="5" s="1"/>
  <c r="W26" i="5"/>
  <c r="AA26" i="5" l="1"/>
  <c r="E19" i="15"/>
  <c r="B27" i="5"/>
  <c r="E19" i="14"/>
  <c r="I42" i="13"/>
  <c r="X27" i="5" l="1"/>
  <c r="K27" i="5"/>
  <c r="M27" i="5" s="1"/>
  <c r="O27" i="5" s="1"/>
  <c r="B20" i="15"/>
  <c r="G20" i="15" s="1"/>
  <c r="B20" i="14"/>
  <c r="G20" i="14" s="1"/>
  <c r="G27" i="5"/>
  <c r="V27" i="5"/>
  <c r="H43" i="13"/>
  <c r="R27" i="5"/>
  <c r="P27" i="5"/>
  <c r="Q27" i="5" s="1"/>
  <c r="I20" i="15" l="1"/>
  <c r="I20" i="14"/>
  <c r="F20" i="15"/>
  <c r="F20" i="14"/>
  <c r="S27" i="5"/>
  <c r="T27" i="5" s="1"/>
  <c r="Y27" i="5" l="1"/>
  <c r="Z27" i="5" s="1"/>
  <c r="H27" i="5" s="1"/>
  <c r="K43" i="13" s="1"/>
  <c r="J43" i="13"/>
  <c r="H20" i="14"/>
  <c r="H20" i="15"/>
  <c r="L28" i="5" l="1"/>
  <c r="J27" i="5"/>
  <c r="W27" i="5" l="1"/>
  <c r="AA27" i="5" s="1"/>
  <c r="U27" i="5"/>
  <c r="AC28" i="5"/>
  <c r="AD28" i="5" s="1"/>
  <c r="B28" i="5" l="1"/>
  <c r="V28" i="5" s="1"/>
  <c r="I43" i="13"/>
  <c r="E20" i="15"/>
  <c r="E20" i="14"/>
  <c r="G28" i="5" l="1"/>
  <c r="H44" i="13"/>
  <c r="X28" i="5"/>
  <c r="P28" i="5"/>
  <c r="Q28" i="5" s="1"/>
  <c r="R28" i="5"/>
  <c r="B21" i="15"/>
  <c r="G21" i="15" s="1"/>
  <c r="B21" i="14"/>
  <c r="G21" i="14" s="1"/>
  <c r="K28" i="5"/>
  <c r="M28" i="5" s="1"/>
  <c r="O28" i="5" s="1"/>
  <c r="F21" i="14"/>
  <c r="F21" i="15"/>
  <c r="I21" i="15" l="1"/>
  <c r="I21" i="14"/>
  <c r="S28" i="5"/>
  <c r="T28" i="5" s="1"/>
  <c r="Y28" i="5" l="1"/>
  <c r="Z28" i="5" s="1"/>
  <c r="H28" i="5" s="1"/>
  <c r="J28" i="5" s="1"/>
  <c r="J44" i="13"/>
  <c r="H21" i="15"/>
  <c r="H21" i="14"/>
  <c r="L29" i="5" l="1"/>
  <c r="K44" i="13"/>
  <c r="W28" i="5"/>
  <c r="AC29" i="5"/>
  <c r="AD29" i="5" s="1"/>
  <c r="U28" i="5"/>
  <c r="AA28" i="5" l="1"/>
  <c r="B29" i="5"/>
  <c r="E21" i="15"/>
  <c r="I44" i="13"/>
  <c r="E21" i="14"/>
  <c r="R29" i="5" l="1"/>
  <c r="B22" i="14"/>
  <c r="G22" i="14" s="1"/>
  <c r="B22" i="15"/>
  <c r="G22" i="15" s="1"/>
  <c r="X29" i="5"/>
  <c r="K29" i="5"/>
  <c r="M29" i="5" s="1"/>
  <c r="O29" i="5" s="1"/>
  <c r="H45" i="13"/>
  <c r="V29" i="5"/>
  <c r="P29" i="5"/>
  <c r="Q29" i="5" s="1"/>
  <c r="G29" i="5"/>
  <c r="S29" i="5" l="1"/>
  <c r="T29" i="5" s="1"/>
  <c r="I22" i="15"/>
  <c r="I22" i="14"/>
  <c r="F22" i="14"/>
  <c r="F22" i="15"/>
  <c r="Y29" i="5" l="1"/>
  <c r="Z29" i="5" s="1"/>
  <c r="H29" i="5" s="1"/>
  <c r="K45" i="13" s="1"/>
  <c r="J45" i="13"/>
  <c r="H22" i="14"/>
  <c r="H22" i="15"/>
  <c r="L30" i="5" l="1"/>
  <c r="J29" i="5"/>
  <c r="U29" i="5" l="1"/>
  <c r="AC30" i="5"/>
  <c r="AD30" i="5" s="1"/>
  <c r="W29" i="5"/>
  <c r="AA29" i="5" s="1"/>
  <c r="E22" i="15" l="1"/>
  <c r="B30" i="5"/>
  <c r="I45" i="13"/>
  <c r="E22" i="14"/>
  <c r="X30" i="5" l="1"/>
  <c r="I23" i="14" s="1"/>
  <c r="B23" i="15"/>
  <c r="G23" i="15" s="1"/>
  <c r="B23" i="14"/>
  <c r="G23" i="14" s="1"/>
  <c r="H46" i="13"/>
  <c r="R30" i="5"/>
  <c r="V30" i="5"/>
  <c r="P30" i="5"/>
  <c r="Q30" i="5" s="1"/>
  <c r="K30" i="5"/>
  <c r="M30" i="5" s="1"/>
  <c r="O30" i="5" s="1"/>
  <c r="G30" i="5"/>
  <c r="I23" i="15" l="1"/>
  <c r="F23" i="14"/>
  <c r="F23" i="15"/>
  <c r="S30" i="5"/>
  <c r="T30" i="5" s="1"/>
  <c r="Y30" i="5" l="1"/>
  <c r="Z30" i="5" s="1"/>
  <c r="H30" i="5" s="1"/>
  <c r="K46" i="13" s="1"/>
  <c r="J46" i="13"/>
  <c r="H23" i="14"/>
  <c r="H23" i="15"/>
  <c r="L31" i="5" l="1"/>
  <c r="J30" i="5"/>
  <c r="U30" i="5" l="1"/>
  <c r="W30" i="5"/>
  <c r="AC31" i="5"/>
  <c r="AD31" i="5" s="1"/>
  <c r="AA30" i="5" l="1"/>
  <c r="I46" i="13"/>
  <c r="E23" i="15"/>
  <c r="E23" i="14"/>
  <c r="B31" i="5"/>
  <c r="G31" i="5" l="1"/>
  <c r="B24" i="15"/>
  <c r="G24" i="15" s="1"/>
  <c r="X31" i="5"/>
  <c r="B24" i="14"/>
  <c r="G24" i="14" s="1"/>
  <c r="H47" i="13"/>
  <c r="V31" i="5"/>
  <c r="K31" i="5"/>
  <c r="M31" i="5" s="1"/>
  <c r="O31" i="5" s="1"/>
  <c r="P31" i="5"/>
  <c r="Q31" i="5" s="1"/>
  <c r="R31" i="5"/>
  <c r="I24" i="15" l="1"/>
  <c r="I24" i="14"/>
  <c r="F24" i="15"/>
  <c r="F24" i="14"/>
  <c r="S31" i="5"/>
  <c r="Y31" i="5" s="1"/>
  <c r="Z31" i="5" s="1"/>
  <c r="H31" i="5" s="1"/>
  <c r="K47" i="13" s="1"/>
  <c r="T31" i="5" l="1"/>
  <c r="L32" i="5"/>
  <c r="J31" i="5"/>
  <c r="H24" i="15" l="1"/>
  <c r="H24" i="14"/>
  <c r="W31" i="5"/>
  <c r="J47" i="13"/>
  <c r="U31" i="5"/>
  <c r="AC32" i="5"/>
  <c r="AD32" i="5" s="1"/>
  <c r="O13" i="16" s="1"/>
  <c r="AA31" i="5" l="1"/>
  <c r="N13" i="16"/>
  <c r="B32" i="5"/>
  <c r="H48" i="13" s="1"/>
  <c r="I47" i="13"/>
  <c r="E24" i="15"/>
  <c r="E24" i="14"/>
  <c r="V32" i="5" l="1"/>
  <c r="J13" i="16" s="1"/>
  <c r="X32" i="5"/>
  <c r="L13" i="16" s="1"/>
  <c r="P32" i="5"/>
  <c r="Q32" i="5" s="1"/>
  <c r="R32" i="5"/>
  <c r="G32" i="5"/>
  <c r="K32" i="5"/>
  <c r="M32" i="5" s="1"/>
  <c r="B25" i="15"/>
  <c r="G25" i="15" s="1"/>
  <c r="B25" i="14"/>
  <c r="G25" i="14" s="1"/>
  <c r="B13" i="16"/>
  <c r="C13" i="16" l="1"/>
  <c r="D13" i="16"/>
  <c r="I25" i="15"/>
  <c r="F25" i="14"/>
  <c r="F25" i="15"/>
  <c r="I25" i="14"/>
  <c r="O32" i="5"/>
  <c r="S32" i="5" s="1"/>
  <c r="T32" i="5" l="1"/>
  <c r="K13" i="16" s="1"/>
  <c r="Y32" i="5"/>
  <c r="Z32" i="5" s="1"/>
  <c r="H32" i="5" s="1"/>
  <c r="K48" i="13" s="1"/>
  <c r="H25" i="15" l="1"/>
  <c r="J48" i="13"/>
  <c r="H25" i="14"/>
  <c r="L33" i="5"/>
  <c r="J32" i="5" l="1"/>
  <c r="H13" i="16" s="1"/>
  <c r="AC33" i="5" l="1"/>
  <c r="AD33" i="5" s="1"/>
  <c r="U32" i="5"/>
  <c r="I13" i="16" s="1"/>
  <c r="W32" i="5"/>
  <c r="I48" i="13" l="1"/>
  <c r="E25" i="14"/>
  <c r="E25" i="15"/>
  <c r="AA32" i="5"/>
  <c r="B33" i="5"/>
  <c r="H49" i="13" l="1"/>
  <c r="B26" i="14"/>
  <c r="G26" i="14" s="1"/>
  <c r="B26" i="15"/>
  <c r="G26" i="15" s="1"/>
  <c r="V33" i="5"/>
  <c r="K33" i="5"/>
  <c r="M33" i="5" s="1"/>
  <c r="O33" i="5" s="1"/>
  <c r="R33" i="5"/>
  <c r="P33" i="5"/>
  <c r="Q33" i="5" s="1"/>
  <c r="G33" i="5"/>
  <c r="X33" i="5"/>
  <c r="I26" i="14" l="1"/>
  <c r="I26" i="15"/>
  <c r="F26" i="14"/>
  <c r="F26" i="15"/>
  <c r="S33" i="5"/>
  <c r="T33" i="5" l="1"/>
  <c r="Y33" i="5"/>
  <c r="Z33" i="5" s="1"/>
  <c r="H33" i="5" s="1"/>
  <c r="K49" i="13" s="1"/>
  <c r="J49" i="13" l="1"/>
  <c r="H26" i="14"/>
  <c r="H26" i="15"/>
  <c r="J33" i="5"/>
  <c r="L34" i="5"/>
  <c r="AC34" i="5" l="1"/>
  <c r="AD34" i="5" s="1"/>
  <c r="U33" i="5"/>
  <c r="W33" i="5"/>
  <c r="I49" i="13" l="1"/>
  <c r="E26" i="14"/>
  <c r="E26" i="15"/>
  <c r="B34" i="5"/>
  <c r="AA33" i="5"/>
  <c r="H50" i="13" l="1"/>
  <c r="B27" i="14"/>
  <c r="G27" i="14" s="1"/>
  <c r="B27" i="15"/>
  <c r="G27" i="15" s="1"/>
  <c r="X34" i="5"/>
  <c r="G34" i="5"/>
  <c r="R34" i="5"/>
  <c r="P34" i="5"/>
  <c r="Q34" i="5" s="1"/>
  <c r="K34" i="5"/>
  <c r="M34" i="5" s="1"/>
  <c r="O34" i="5" s="1"/>
  <c r="V34" i="5"/>
  <c r="F27" i="14" l="1"/>
  <c r="F27" i="15"/>
  <c r="I27" i="14"/>
  <c r="I27" i="15"/>
  <c r="S34" i="5"/>
  <c r="Y34" i="5" s="1"/>
  <c r="Z34" i="5" s="1"/>
  <c r="H34" i="5" s="1"/>
  <c r="K50" i="13" s="1"/>
  <c r="T34" i="5" l="1"/>
  <c r="J34" i="5"/>
  <c r="L35" i="5"/>
  <c r="J50" i="13" l="1"/>
  <c r="H27" i="14"/>
  <c r="H27" i="15"/>
  <c r="AC35" i="5"/>
  <c r="AD35" i="5" s="1"/>
  <c r="W34" i="5"/>
  <c r="U34" i="5"/>
  <c r="I50" i="13" l="1"/>
  <c r="E27" i="14"/>
  <c r="E27" i="15"/>
  <c r="B35" i="5"/>
  <c r="AA34" i="5"/>
  <c r="B28" i="15" l="1"/>
  <c r="G28" i="15" s="1"/>
  <c r="H51" i="13"/>
  <c r="X35" i="5"/>
  <c r="B28" i="14"/>
  <c r="G28" i="14" s="1"/>
  <c r="G35" i="5"/>
  <c r="P35" i="5"/>
  <c r="Q35" i="5" s="1"/>
  <c r="R35" i="5"/>
  <c r="K35" i="5"/>
  <c r="M35" i="5" s="1"/>
  <c r="O35" i="5" s="1"/>
  <c r="V35" i="5"/>
  <c r="F28" i="14" l="1"/>
  <c r="F28" i="15"/>
  <c r="I28" i="14"/>
  <c r="I28" i="15"/>
  <c r="S35" i="5"/>
  <c r="T35" i="5" s="1"/>
  <c r="J51" i="13" l="1"/>
  <c r="H28" i="14"/>
  <c r="H28" i="15"/>
  <c r="Y35" i="5"/>
  <c r="Z35" i="5" s="1"/>
  <c r="H35" i="5" l="1"/>
  <c r="L36" i="5"/>
  <c r="J35" i="5" l="1"/>
  <c r="K51" i="13"/>
  <c r="W35" i="5" l="1"/>
  <c r="AA35" i="5" s="1"/>
  <c r="AC36" i="5"/>
  <c r="AD36" i="5" s="1"/>
  <c r="U35" i="5"/>
  <c r="E28" i="14" l="1"/>
  <c r="E28" i="15"/>
  <c r="B36" i="5"/>
  <c r="I51" i="13"/>
  <c r="V36" i="5" l="1"/>
  <c r="K36" i="5"/>
  <c r="M36" i="5" s="1"/>
  <c r="O36" i="5" s="1"/>
  <c r="H52" i="13"/>
  <c r="P36" i="5"/>
  <c r="Q36" i="5" s="1"/>
  <c r="B29" i="15"/>
  <c r="G29" i="15" s="1"/>
  <c r="B29" i="14"/>
  <c r="G29" i="14" s="1"/>
  <c r="R36" i="5"/>
  <c r="G36" i="5"/>
  <c r="X36" i="5"/>
  <c r="F29" i="14" l="1"/>
  <c r="F29" i="15"/>
  <c r="I29" i="14"/>
  <c r="S36" i="5"/>
  <c r="Y36" i="5" s="1"/>
  <c r="Z36" i="5" s="1"/>
  <c r="H36" i="5" s="1"/>
  <c r="K52" i="13" s="1"/>
  <c r="I29" i="15"/>
  <c r="J36" i="5" l="1"/>
  <c r="T36" i="5"/>
  <c r="L37" i="5"/>
  <c r="H29" i="14" l="1"/>
  <c r="AC37" i="5"/>
  <c r="AD37" i="5" s="1"/>
  <c r="J52" i="13"/>
  <c r="W36" i="5"/>
  <c r="H29" i="15"/>
  <c r="U36" i="5"/>
  <c r="AA36" i="5" l="1"/>
  <c r="E29" i="14"/>
  <c r="I52" i="13"/>
  <c r="B37" i="5"/>
  <c r="E29" i="15"/>
  <c r="V37" i="5" l="1"/>
  <c r="K37" i="5"/>
  <c r="M37" i="5" s="1"/>
  <c r="O37" i="5" s="1"/>
  <c r="R37" i="5"/>
  <c r="B30" i="14"/>
  <c r="G30" i="14" s="1"/>
  <c r="X37" i="5"/>
  <c r="H53" i="13"/>
  <c r="G37" i="5"/>
  <c r="B30" i="15"/>
  <c r="G30" i="15" s="1"/>
  <c r="P37" i="5"/>
  <c r="Q37" i="5" s="1"/>
  <c r="F30" i="14" l="1"/>
  <c r="F30" i="15"/>
  <c r="S37" i="5"/>
  <c r="Y37" i="5" s="1"/>
  <c r="Z37" i="5" s="1"/>
  <c r="H37" i="5" s="1"/>
  <c r="K53" i="13" s="1"/>
  <c r="I30" i="15"/>
  <c r="I30" i="14"/>
  <c r="T37" i="5" l="1"/>
  <c r="J37" i="5"/>
  <c r="L38" i="5"/>
  <c r="J53" i="13" l="1"/>
  <c r="H30" i="15"/>
  <c r="H30" i="14"/>
  <c r="AC38" i="5"/>
  <c r="AD38" i="5" s="1"/>
  <c r="U37" i="5"/>
  <c r="W37" i="5"/>
  <c r="I53" i="13" l="1"/>
  <c r="E30" i="14"/>
  <c r="E30" i="15"/>
  <c r="AA37" i="5"/>
  <c r="B38" i="5"/>
  <c r="H54" i="13" l="1"/>
  <c r="B31" i="14"/>
  <c r="G31" i="14" s="1"/>
  <c r="B31" i="15"/>
  <c r="G31" i="15" s="1"/>
  <c r="K38" i="5"/>
  <c r="M38" i="5" s="1"/>
  <c r="O38" i="5" s="1"/>
  <c r="P38" i="5"/>
  <c r="Q38" i="5" s="1"/>
  <c r="V38" i="5"/>
  <c r="G38" i="5"/>
  <c r="R38" i="5"/>
  <c r="X38" i="5"/>
  <c r="F31" i="14" l="1"/>
  <c r="F31" i="15"/>
  <c r="I31" i="14"/>
  <c r="I31" i="15"/>
  <c r="S38" i="5"/>
  <c r="T38" i="5" l="1"/>
  <c r="Y38" i="5"/>
  <c r="Z38" i="5" s="1"/>
  <c r="H38" i="5" s="1"/>
  <c r="K54" i="13" s="1"/>
  <c r="J54" i="13" l="1"/>
  <c r="H31" i="14"/>
  <c r="H31" i="15"/>
  <c r="J38" i="5"/>
  <c r="L39" i="5"/>
  <c r="AC39" i="5" l="1"/>
  <c r="AD39" i="5" s="1"/>
  <c r="W38" i="5"/>
  <c r="U38" i="5"/>
  <c r="O14" i="16" l="1"/>
  <c r="N14" i="16"/>
  <c r="I54" i="13"/>
  <c r="E31" i="14"/>
  <c r="E31" i="15"/>
  <c r="B39" i="5"/>
  <c r="AA38" i="5"/>
  <c r="B14" i="16" l="1"/>
  <c r="B32" i="15"/>
  <c r="G32" i="15" s="1"/>
  <c r="H55" i="13"/>
  <c r="X39" i="5"/>
  <c r="B32" i="14"/>
  <c r="G32" i="14" s="1"/>
  <c r="K39" i="5"/>
  <c r="R39" i="5"/>
  <c r="P39" i="5"/>
  <c r="Q39" i="5" s="1"/>
  <c r="V39" i="5"/>
  <c r="G39" i="5"/>
  <c r="C14" i="16" l="1"/>
  <c r="D14" i="16"/>
  <c r="J14" i="16"/>
  <c r="L14" i="16"/>
  <c r="I32" i="15"/>
  <c r="F32" i="14"/>
  <c r="F32" i="15"/>
  <c r="I32" i="14"/>
  <c r="M39" i="5"/>
  <c r="O39" i="5" l="1"/>
  <c r="S39" i="5" s="1"/>
  <c r="T39" i="5" l="1"/>
  <c r="Y39" i="5"/>
  <c r="Z39" i="5" s="1"/>
  <c r="H39" i="5" s="1"/>
  <c r="K55" i="13" s="1"/>
  <c r="K14" i="16" l="1"/>
  <c r="H32" i="15"/>
  <c r="J55" i="13"/>
  <c r="H32" i="14"/>
  <c r="L40" i="5"/>
  <c r="J39" i="5" l="1"/>
  <c r="H14" i="16" l="1"/>
  <c r="AC40" i="5"/>
  <c r="AD40" i="5" s="1"/>
  <c r="U39" i="5"/>
  <c r="W39" i="5"/>
  <c r="I14" i="16" l="1"/>
  <c r="I55" i="13"/>
  <c r="E32" i="14"/>
  <c r="E32" i="15"/>
  <c r="B40" i="5"/>
  <c r="AA39" i="5"/>
  <c r="H56" i="13" l="1"/>
  <c r="B33" i="14"/>
  <c r="G33" i="14" s="1"/>
  <c r="B33" i="15"/>
  <c r="G33" i="15" s="1"/>
  <c r="R40" i="5"/>
  <c r="G40" i="5"/>
  <c r="K40" i="5"/>
  <c r="M40" i="5" s="1"/>
  <c r="O40" i="5" s="1"/>
  <c r="P40" i="5"/>
  <c r="Q40" i="5" s="1"/>
  <c r="V40" i="5"/>
  <c r="X40" i="5"/>
  <c r="I33" i="14" l="1"/>
  <c r="I33" i="15"/>
  <c r="F33" i="14"/>
  <c r="F33" i="15"/>
  <c r="S40" i="5"/>
  <c r="T40" i="5" l="1"/>
  <c r="Y40" i="5"/>
  <c r="Z40" i="5" s="1"/>
  <c r="H40" i="5" s="1"/>
  <c r="K56" i="13" s="1"/>
  <c r="J56" i="13" l="1"/>
  <c r="H33" i="14"/>
  <c r="H33" i="15"/>
  <c r="J40" i="5"/>
  <c r="L41" i="5"/>
  <c r="AC41" i="5" l="1"/>
  <c r="AD41" i="5" s="1"/>
  <c r="U40" i="5"/>
  <c r="W40" i="5"/>
  <c r="I56" i="13" l="1"/>
  <c r="E33" i="14"/>
  <c r="E33" i="15"/>
  <c r="AA40" i="5"/>
  <c r="B41" i="5"/>
  <c r="H57" i="13" l="1"/>
  <c r="B34" i="14"/>
  <c r="G34" i="14" s="1"/>
  <c r="B34" i="15"/>
  <c r="G34" i="15" s="1"/>
  <c r="P41" i="5"/>
  <c r="Q41" i="5" s="1"/>
  <c r="G41" i="5"/>
  <c r="R41" i="5"/>
  <c r="V41" i="5"/>
  <c r="K41" i="5"/>
  <c r="M41" i="5" s="1"/>
  <c r="O41" i="5" s="1"/>
  <c r="X41" i="5"/>
  <c r="I34" i="14" l="1"/>
  <c r="I34" i="15"/>
  <c r="F34" i="14"/>
  <c r="F34" i="15"/>
  <c r="S41" i="5"/>
  <c r="Y41" i="5" l="1"/>
  <c r="Z41" i="5" s="1"/>
  <c r="H41" i="5" s="1"/>
  <c r="K57" i="13" s="1"/>
  <c r="T41" i="5"/>
  <c r="J57" i="13" l="1"/>
  <c r="H34" i="14"/>
  <c r="H34" i="15"/>
  <c r="J41" i="5"/>
  <c r="L42" i="5"/>
  <c r="AC42" i="5" l="1"/>
  <c r="AD42" i="5" s="1"/>
  <c r="U41" i="5"/>
  <c r="W41" i="5"/>
  <c r="I57" i="13" l="1"/>
  <c r="E34" i="14"/>
  <c r="E34" i="15"/>
  <c r="AA41" i="5"/>
  <c r="B42" i="5"/>
  <c r="H58" i="13" l="1"/>
  <c r="B35" i="14"/>
  <c r="G35" i="14" s="1"/>
  <c r="B35" i="15"/>
  <c r="G35" i="15" s="1"/>
  <c r="X42" i="5"/>
  <c r="R42" i="5"/>
  <c r="G42" i="5"/>
  <c r="P42" i="5"/>
  <c r="Q42" i="5" s="1"/>
  <c r="K42" i="5"/>
  <c r="M42" i="5" s="1"/>
  <c r="O42" i="5" s="1"/>
  <c r="V42" i="5"/>
  <c r="F35" i="14" l="1"/>
  <c r="F35" i="15"/>
  <c r="I35" i="14"/>
  <c r="I35" i="15"/>
  <c r="S42" i="5"/>
  <c r="Y42" i="5" s="1"/>
  <c r="Z42" i="5" s="1"/>
  <c r="H42" i="5" s="1"/>
  <c r="K58" i="13" s="1"/>
  <c r="T42" i="5" l="1"/>
  <c r="J42" i="5"/>
  <c r="L43" i="5"/>
  <c r="J58" i="13" l="1"/>
  <c r="H35" i="14"/>
  <c r="H35" i="15"/>
  <c r="U42" i="5"/>
  <c r="AC43" i="5"/>
  <c r="AD43" i="5" s="1"/>
  <c r="W42" i="5"/>
  <c r="I58" i="13" l="1"/>
  <c r="E35" i="14"/>
  <c r="E35" i="15"/>
  <c r="AA42" i="5"/>
  <c r="B43" i="5"/>
  <c r="H59" i="13" l="1"/>
  <c r="B36" i="14"/>
  <c r="G36" i="14" s="1"/>
  <c r="B36" i="15"/>
  <c r="G36" i="15" s="1"/>
  <c r="R43" i="5"/>
  <c r="G43" i="5"/>
  <c r="K43" i="5"/>
  <c r="M43" i="5" s="1"/>
  <c r="O43" i="5" s="1"/>
  <c r="V43" i="5"/>
  <c r="P43" i="5"/>
  <c r="Q43" i="5" s="1"/>
  <c r="X43" i="5"/>
  <c r="I36" i="14" l="1"/>
  <c r="I36" i="15"/>
  <c r="F36" i="14"/>
  <c r="F36" i="15"/>
  <c r="S43" i="5"/>
  <c r="T43" i="5" l="1"/>
  <c r="Y43" i="5"/>
  <c r="Z43" i="5" s="1"/>
  <c r="H43" i="5" s="1"/>
  <c r="K59" i="13" s="1"/>
  <c r="J59" i="13" l="1"/>
  <c r="H36" i="14"/>
  <c r="H36" i="15"/>
  <c r="J43" i="5"/>
  <c r="L44" i="5"/>
  <c r="AC44" i="5" l="1"/>
  <c r="AD44" i="5" s="1"/>
  <c r="U43" i="5"/>
  <c r="W43" i="5"/>
  <c r="I59" i="13" l="1"/>
  <c r="E36" i="14"/>
  <c r="E36" i="15"/>
  <c r="AA43" i="5"/>
  <c r="B44" i="5"/>
  <c r="H60" i="13" l="1"/>
  <c r="B37" i="14"/>
  <c r="G37" i="14" s="1"/>
  <c r="B37" i="15"/>
  <c r="G37" i="15" s="1"/>
  <c r="R44" i="5"/>
  <c r="K44" i="5"/>
  <c r="M44" i="5" s="1"/>
  <c r="O44" i="5" s="1"/>
  <c r="V44" i="5"/>
  <c r="P44" i="5"/>
  <c r="Q44" i="5" s="1"/>
  <c r="G44" i="5"/>
  <c r="X44" i="5"/>
  <c r="I37" i="14" l="1"/>
  <c r="I37" i="15"/>
  <c r="F37" i="14"/>
  <c r="F37" i="15"/>
  <c r="S44" i="5"/>
  <c r="T44" i="5" l="1"/>
  <c r="Y44" i="5"/>
  <c r="Z44" i="5" s="1"/>
  <c r="H44" i="5" s="1"/>
  <c r="K60" i="13" s="1"/>
  <c r="J60" i="13" l="1"/>
  <c r="H37" i="14"/>
  <c r="H37" i="15"/>
  <c r="J44" i="5"/>
  <c r="L45" i="5"/>
  <c r="U44" i="5" l="1"/>
  <c r="AC45" i="5"/>
  <c r="AD45" i="5" s="1"/>
  <c r="W44" i="5"/>
  <c r="I60" i="13" l="1"/>
  <c r="E37" i="14"/>
  <c r="E37" i="15"/>
  <c r="AA44" i="5"/>
  <c r="B45" i="5"/>
  <c r="H61" i="13" l="1"/>
  <c r="B38" i="14"/>
  <c r="G38" i="14" s="1"/>
  <c r="B38" i="15"/>
  <c r="G38" i="15" s="1"/>
  <c r="V45" i="5"/>
  <c r="R45" i="5"/>
  <c r="G45" i="5"/>
  <c r="P45" i="5"/>
  <c r="Q45" i="5" s="1"/>
  <c r="K45" i="5"/>
  <c r="M45" i="5" s="1"/>
  <c r="O45" i="5" s="1"/>
  <c r="X45" i="5"/>
  <c r="I38" i="14" l="1"/>
  <c r="I38" i="15"/>
  <c r="F38" i="14"/>
  <c r="F38" i="15"/>
  <c r="S45" i="5"/>
  <c r="Y45" i="5" l="1"/>
  <c r="Z45" i="5" s="1"/>
  <c r="H45" i="5" s="1"/>
  <c r="K61" i="13" s="1"/>
  <c r="T45" i="5"/>
  <c r="J61" i="13" l="1"/>
  <c r="H38" i="14"/>
  <c r="H38" i="15"/>
  <c r="J45" i="5"/>
  <c r="L46" i="5"/>
  <c r="AC46" i="5" l="1"/>
  <c r="AD46" i="5" s="1"/>
  <c r="O15" i="16" s="1"/>
  <c r="U45" i="5"/>
  <c r="W45" i="5"/>
  <c r="N15" i="16" s="1"/>
  <c r="I61" i="13" l="1"/>
  <c r="E38" i="14"/>
  <c r="E38" i="15"/>
  <c r="AA45" i="5"/>
  <c r="B46" i="5"/>
  <c r="B15" i="16" l="1"/>
  <c r="H62" i="13"/>
  <c r="B39" i="14"/>
  <c r="G39" i="14" s="1"/>
  <c r="B39" i="15"/>
  <c r="G39" i="15" s="1"/>
  <c r="K46" i="5"/>
  <c r="P46" i="5"/>
  <c r="Q46" i="5" s="1"/>
  <c r="V46" i="5"/>
  <c r="J15" i="16" s="1"/>
  <c r="G46" i="5"/>
  <c r="R46" i="5"/>
  <c r="X46" i="5"/>
  <c r="D15" i="16" l="1"/>
  <c r="C15" i="16"/>
  <c r="L15" i="16"/>
  <c r="I39" i="15"/>
  <c r="F39" i="14"/>
  <c r="F39" i="15"/>
  <c r="I39" i="14"/>
  <c r="M46" i="5"/>
  <c r="O46" i="5" l="1"/>
  <c r="S46" i="5" s="1"/>
  <c r="Y46" i="5" l="1"/>
  <c r="Z46" i="5" s="1"/>
  <c r="H46" i="5" s="1"/>
  <c r="K62" i="13" s="1"/>
  <c r="T46" i="5"/>
  <c r="K15" i="16" l="1"/>
  <c r="H39" i="15"/>
  <c r="J62" i="13"/>
  <c r="H39" i="14"/>
  <c r="L47" i="5"/>
  <c r="J46" i="5" l="1"/>
  <c r="H15" i="16" s="1"/>
  <c r="U46" i="5" l="1"/>
  <c r="W46" i="5"/>
  <c r="AC47" i="5"/>
  <c r="AD47" i="5" s="1"/>
  <c r="I15" i="16" l="1"/>
  <c r="I62" i="13"/>
  <c r="E39" i="14"/>
  <c r="E39" i="15"/>
  <c r="AA46" i="5"/>
  <c r="B47" i="5"/>
  <c r="H63" i="13" l="1"/>
  <c r="B40" i="14"/>
  <c r="G40" i="14" s="1"/>
  <c r="B40" i="15"/>
  <c r="G40" i="15" s="1"/>
  <c r="K47" i="5"/>
  <c r="M47" i="5" s="1"/>
  <c r="O47" i="5" s="1"/>
  <c r="P47" i="5"/>
  <c r="Q47" i="5" s="1"/>
  <c r="V47" i="5"/>
  <c r="G47" i="5"/>
  <c r="R47" i="5"/>
  <c r="X47" i="5"/>
  <c r="I40" i="14" l="1"/>
  <c r="I40" i="15"/>
  <c r="F40" i="14"/>
  <c r="F40" i="15"/>
  <c r="S47" i="5"/>
  <c r="Y47" i="5" l="1"/>
  <c r="Z47" i="5" s="1"/>
  <c r="H47" i="5" s="1"/>
  <c r="K63" i="13" s="1"/>
  <c r="T47" i="5"/>
  <c r="J63" i="13" l="1"/>
  <c r="H40" i="14"/>
  <c r="H40" i="15"/>
  <c r="J47" i="5"/>
  <c r="L48" i="5"/>
  <c r="U47" i="5" l="1"/>
  <c r="AC48" i="5"/>
  <c r="AD48" i="5" s="1"/>
  <c r="W47" i="5"/>
  <c r="E40" i="15" l="1"/>
  <c r="I63" i="13"/>
  <c r="B48" i="5"/>
  <c r="E40" i="14"/>
  <c r="AA47" i="5"/>
  <c r="X48" i="5" l="1"/>
  <c r="H64" i="13"/>
  <c r="V48" i="5"/>
  <c r="P48" i="5"/>
  <c r="Q48" i="5" s="1"/>
  <c r="G48" i="5"/>
  <c r="R48" i="5"/>
  <c r="K48" i="5"/>
  <c r="M48" i="5" s="1"/>
  <c r="O48" i="5" s="1"/>
  <c r="B41" i="14"/>
  <c r="G41" i="14" s="1"/>
  <c r="B41" i="15"/>
  <c r="G41" i="15" s="1"/>
  <c r="F41" i="15" l="1"/>
  <c r="I41" i="14"/>
  <c r="I41" i="15"/>
  <c r="F41" i="14"/>
  <c r="S48" i="5"/>
  <c r="T48" i="5" s="1"/>
  <c r="J64" i="13" l="1"/>
  <c r="Y48" i="5"/>
  <c r="Z48" i="5" s="1"/>
  <c r="H48" i="5" s="1"/>
  <c r="H41" i="14"/>
  <c r="H41" i="15"/>
  <c r="J48" i="5" l="1"/>
  <c r="K64" i="13"/>
  <c r="L49" i="5"/>
  <c r="W48" i="5" l="1"/>
  <c r="U48" i="5"/>
  <c r="AC49" i="5"/>
  <c r="AD49" i="5" s="1"/>
  <c r="AA48" i="5" l="1"/>
  <c r="B49" i="5"/>
  <c r="E41" i="15"/>
  <c r="I64" i="13"/>
  <c r="E41" i="14"/>
  <c r="K49" i="5" l="1"/>
  <c r="M49" i="5" s="1"/>
  <c r="O49" i="5" s="1"/>
  <c r="G49" i="5"/>
  <c r="V49" i="5"/>
  <c r="B42" i="15"/>
  <c r="G42" i="15" s="1"/>
  <c r="B42" i="14"/>
  <c r="G42" i="14" s="1"/>
  <c r="H65" i="13"/>
  <c r="X49" i="5"/>
  <c r="P49" i="5"/>
  <c r="Q49" i="5" s="1"/>
  <c r="R49" i="5"/>
  <c r="F42" i="14" l="1"/>
  <c r="F42" i="15"/>
  <c r="I42" i="15"/>
  <c r="I42" i="14"/>
  <c r="S49" i="5"/>
  <c r="T49" i="5" s="1"/>
  <c r="Y49" i="5" l="1"/>
  <c r="Z49" i="5" s="1"/>
  <c r="H49" i="5" s="1"/>
  <c r="K65" i="13" s="1"/>
  <c r="J65" i="13"/>
  <c r="H42" i="14"/>
  <c r="H42" i="15"/>
  <c r="L50" i="5" l="1"/>
  <c r="J49" i="5"/>
  <c r="W49" i="5" l="1"/>
  <c r="AA49" i="5" s="1"/>
  <c r="U49" i="5"/>
  <c r="AC50" i="5"/>
  <c r="AD50" i="5" s="1"/>
  <c r="E42" i="14" l="1"/>
  <c r="E42" i="15"/>
  <c r="I65" i="13"/>
  <c r="B50" i="5"/>
  <c r="P50" i="5" l="1"/>
  <c r="Q50" i="5" s="1"/>
  <c r="B43" i="15"/>
  <c r="G43" i="15" s="1"/>
  <c r="B43" i="14"/>
  <c r="G43" i="14" s="1"/>
  <c r="H66" i="13"/>
  <c r="X50" i="5"/>
  <c r="I43" i="14" s="1"/>
  <c r="R50" i="5"/>
  <c r="G50" i="5"/>
  <c r="K50" i="5"/>
  <c r="M50" i="5" s="1"/>
  <c r="O50" i="5" s="1"/>
  <c r="V50" i="5"/>
  <c r="F43" i="14" s="1"/>
  <c r="S50" i="5" l="1"/>
  <c r="Y50" i="5" s="1"/>
  <c r="Z50" i="5" s="1"/>
  <c r="H50" i="5" s="1"/>
  <c r="K66" i="13" s="1"/>
  <c r="I43" i="15"/>
  <c r="F43" i="15"/>
  <c r="T50" i="5" l="1"/>
  <c r="J50" i="5"/>
  <c r="L51" i="5"/>
  <c r="H43" i="15" l="1"/>
  <c r="H43" i="14"/>
  <c r="J66" i="13"/>
  <c r="AC51" i="5"/>
  <c r="AD51" i="5" s="1"/>
  <c r="U50" i="5"/>
  <c r="W50" i="5"/>
  <c r="I66" i="13" l="1"/>
  <c r="E43" i="14"/>
  <c r="E43" i="15"/>
  <c r="AA50" i="5"/>
  <c r="B51" i="5"/>
  <c r="H67" i="13" l="1"/>
  <c r="B44" i="14"/>
  <c r="G44" i="14" s="1"/>
  <c r="B44" i="15"/>
  <c r="G44" i="15" s="1"/>
  <c r="X51" i="5"/>
  <c r="P51" i="5"/>
  <c r="Q51" i="5" s="1"/>
  <c r="V51" i="5"/>
  <c r="K51" i="5"/>
  <c r="M51" i="5" s="1"/>
  <c r="O51" i="5" s="1"/>
  <c r="G51" i="5"/>
  <c r="R51" i="5"/>
  <c r="I44" i="14" l="1"/>
  <c r="I44" i="15"/>
  <c r="F44" i="14"/>
  <c r="F44" i="15"/>
  <c r="S51" i="5"/>
  <c r="Y51" i="5" l="1"/>
  <c r="Z51" i="5" s="1"/>
  <c r="H51" i="5" s="1"/>
  <c r="K67" i="13" s="1"/>
  <c r="T51" i="5"/>
  <c r="J67" i="13" l="1"/>
  <c r="H44" i="14"/>
  <c r="H44" i="15"/>
  <c r="J51" i="5"/>
  <c r="L52" i="5"/>
  <c r="U51" i="5" l="1"/>
  <c r="AC52" i="5"/>
  <c r="AD52" i="5" s="1"/>
  <c r="W51" i="5"/>
  <c r="I67" i="13" l="1"/>
  <c r="E44" i="14"/>
  <c r="E44" i="15"/>
  <c r="B52" i="5"/>
  <c r="AA51" i="5"/>
  <c r="H68" i="13" l="1"/>
  <c r="B45" i="14"/>
  <c r="G45" i="14" s="1"/>
  <c r="B45" i="15"/>
  <c r="G45" i="15" s="1"/>
  <c r="X52" i="5"/>
  <c r="K52" i="5"/>
  <c r="M52" i="5" s="1"/>
  <c r="O52" i="5" s="1"/>
  <c r="P52" i="5"/>
  <c r="Q52" i="5" s="1"/>
  <c r="R52" i="5"/>
  <c r="V52" i="5"/>
  <c r="G52" i="5"/>
  <c r="F45" i="14" l="1"/>
  <c r="F45" i="15"/>
  <c r="I45" i="14"/>
  <c r="I45" i="15"/>
  <c r="S52" i="5"/>
  <c r="T52" i="5" l="1"/>
  <c r="Y52" i="5"/>
  <c r="Z52" i="5" s="1"/>
  <c r="H52" i="5" s="1"/>
  <c r="K68" i="13" s="1"/>
  <c r="J68" i="13" l="1"/>
  <c r="H45" i="14"/>
  <c r="H45" i="15"/>
  <c r="J52" i="5"/>
  <c r="L53" i="5"/>
  <c r="AC53" i="5" l="1"/>
  <c r="AD53" i="5" s="1"/>
  <c r="U52" i="5"/>
  <c r="W52" i="5"/>
  <c r="N16" i="16" l="1"/>
  <c r="O16" i="16"/>
  <c r="I68" i="13"/>
  <c r="E45" i="14"/>
  <c r="E45" i="15"/>
  <c r="AA52" i="5"/>
  <c r="B53" i="5"/>
  <c r="B16" i="16" l="1"/>
  <c r="H69" i="13"/>
  <c r="B46" i="14"/>
  <c r="G46" i="14" s="1"/>
  <c r="B46" i="15"/>
  <c r="G46" i="15" s="1"/>
  <c r="P53" i="5"/>
  <c r="Q53" i="5" s="1"/>
  <c r="K53" i="5"/>
  <c r="V53" i="5"/>
  <c r="R53" i="5"/>
  <c r="G53" i="5"/>
  <c r="X53" i="5"/>
  <c r="C16" i="16" l="1"/>
  <c r="D16" i="16"/>
  <c r="J16" i="16"/>
  <c r="L16" i="16"/>
  <c r="I46" i="15"/>
  <c r="F46" i="14"/>
  <c r="F46" i="15"/>
  <c r="I46" i="14"/>
  <c r="M53" i="5"/>
  <c r="O53" i="5" l="1"/>
  <c r="S53" i="5" s="1"/>
  <c r="T53" i="5" l="1"/>
  <c r="Y53" i="5"/>
  <c r="Z53" i="5" s="1"/>
  <c r="H53" i="5" s="1"/>
  <c r="K69" i="13" s="1"/>
  <c r="K16" i="16" l="1"/>
  <c r="H46" i="15"/>
  <c r="J69" i="13"/>
  <c r="H46" i="14"/>
  <c r="L54" i="5"/>
  <c r="J53" i="5" l="1"/>
  <c r="H16" i="16" l="1"/>
  <c r="U53" i="5"/>
  <c r="AC54" i="5"/>
  <c r="AD54" i="5" s="1"/>
  <c r="W53" i="5"/>
  <c r="I16" i="16" l="1"/>
  <c r="I69" i="13"/>
  <c r="E46" i="14"/>
  <c r="E46" i="15"/>
  <c r="B54" i="5"/>
  <c r="AA53" i="5"/>
  <c r="H70" i="13" l="1"/>
  <c r="B47" i="14"/>
  <c r="G47" i="14" s="1"/>
  <c r="B47" i="15"/>
  <c r="G47" i="15" s="1"/>
  <c r="X54" i="5"/>
  <c r="R54" i="5"/>
  <c r="P54" i="5"/>
  <c r="Q54" i="5" s="1"/>
  <c r="G54" i="5"/>
  <c r="K54" i="5"/>
  <c r="M54" i="5" s="1"/>
  <c r="O54" i="5" s="1"/>
  <c r="V54" i="5"/>
  <c r="F47" i="14" l="1"/>
  <c r="F47" i="15"/>
  <c r="I47" i="14"/>
  <c r="I47" i="15"/>
  <c r="S54" i="5"/>
  <c r="T54" i="5" s="1"/>
  <c r="J70" i="13" l="1"/>
  <c r="H47" i="14"/>
  <c r="H47" i="15"/>
  <c r="Y54" i="5"/>
  <c r="Z54" i="5" s="1"/>
  <c r="H54" i="5" l="1"/>
  <c r="L55" i="5"/>
  <c r="J54" i="5" l="1"/>
  <c r="K70" i="13"/>
  <c r="AC55" i="5" l="1"/>
  <c r="AD55" i="5" s="1"/>
  <c r="W54" i="5"/>
  <c r="U54" i="5"/>
  <c r="AA54" i="5" l="1"/>
  <c r="E47" i="14"/>
  <c r="B55" i="5"/>
  <c r="I70" i="13"/>
  <c r="E47" i="15"/>
  <c r="B48" i="14" l="1"/>
  <c r="G48" i="14" s="1"/>
  <c r="P55" i="5"/>
  <c r="Q55" i="5" s="1"/>
  <c r="R55" i="5"/>
  <c r="K55" i="5"/>
  <c r="M55" i="5" s="1"/>
  <c r="O55" i="5" s="1"/>
  <c r="X55" i="5"/>
  <c r="G55" i="5"/>
  <c r="H71" i="13"/>
  <c r="V55" i="5"/>
  <c r="B48" i="15"/>
  <c r="G48" i="15" s="1"/>
  <c r="I48" i="14" l="1"/>
  <c r="I48" i="15"/>
  <c r="F48" i="15"/>
  <c r="S55" i="5"/>
  <c r="Y55" i="5" s="1"/>
  <c r="Z55" i="5" s="1"/>
  <c r="H55" i="5" s="1"/>
  <c r="K71" i="13" s="1"/>
  <c r="F48" i="14"/>
  <c r="T55" i="5" l="1"/>
  <c r="J55" i="5"/>
  <c r="L56" i="5"/>
  <c r="H48" i="14" l="1"/>
  <c r="J71" i="13"/>
  <c r="H48" i="15"/>
  <c r="U55" i="5"/>
  <c r="AC56" i="5"/>
  <c r="AD56" i="5" s="1"/>
  <c r="W55" i="5"/>
  <c r="AA55" i="5" s="1"/>
  <c r="I71" i="13" l="1"/>
  <c r="B56" i="5"/>
  <c r="E48" i="15"/>
  <c r="E48" i="14"/>
  <c r="P56" i="5" l="1"/>
  <c r="Q56" i="5" s="1"/>
  <c r="H72" i="13"/>
  <c r="B49" i="14"/>
  <c r="G49" i="14" s="1"/>
  <c r="V56" i="5"/>
  <c r="K56" i="5"/>
  <c r="M56" i="5" s="1"/>
  <c r="O56" i="5" s="1"/>
  <c r="G56" i="5"/>
  <c r="B49" i="15"/>
  <c r="G49" i="15" s="1"/>
  <c r="X56" i="5"/>
  <c r="R56" i="5"/>
  <c r="S56" i="5" l="1"/>
  <c r="Y56" i="5" s="1"/>
  <c r="Z56" i="5" s="1"/>
  <c r="H56" i="5" s="1"/>
  <c r="K72" i="13" s="1"/>
  <c r="F49" i="14"/>
  <c r="I49" i="14"/>
  <c r="I49" i="15"/>
  <c r="F49" i="15"/>
  <c r="T56" i="5" l="1"/>
  <c r="L57" i="5"/>
  <c r="J56" i="5"/>
  <c r="J72" i="13" l="1"/>
  <c r="H49" i="14"/>
  <c r="H49" i="15"/>
  <c r="U56" i="5"/>
  <c r="W56" i="5"/>
  <c r="AC57" i="5"/>
  <c r="AD57" i="5" s="1"/>
  <c r="AA56" i="5" l="1"/>
  <c r="E49" i="14"/>
  <c r="I72" i="13"/>
  <c r="B57" i="5"/>
  <c r="E49" i="15"/>
  <c r="K57" i="5" l="1"/>
  <c r="M57" i="5" s="1"/>
  <c r="O57" i="5" s="1"/>
  <c r="B50" i="15"/>
  <c r="G50" i="15" s="1"/>
  <c r="H73" i="13"/>
  <c r="B50" i="14"/>
  <c r="G50" i="14" s="1"/>
  <c r="X57" i="5"/>
  <c r="P57" i="5"/>
  <c r="Q57" i="5" s="1"/>
  <c r="R57" i="5"/>
  <c r="G57" i="5"/>
  <c r="V57" i="5"/>
  <c r="I50" i="15" l="1"/>
  <c r="I50" i="14"/>
  <c r="S57" i="5"/>
  <c r="T57" i="5" s="1"/>
  <c r="F50" i="14"/>
  <c r="F50" i="15"/>
  <c r="Y57" i="5" l="1"/>
  <c r="Z57" i="5" s="1"/>
  <c r="H57" i="5" s="1"/>
  <c r="K73" i="13" s="1"/>
  <c r="J73" i="13"/>
  <c r="H50" i="14"/>
  <c r="H50" i="15"/>
  <c r="J57" i="5" l="1"/>
  <c r="L58" i="5"/>
  <c r="U57" i="5" l="1"/>
  <c r="AC58" i="5"/>
  <c r="AD58" i="5" s="1"/>
  <c r="W57" i="5"/>
  <c r="AA57" i="5" s="1"/>
  <c r="E50" i="14" l="1"/>
  <c r="B58" i="5"/>
  <c r="B51" i="15" s="1"/>
  <c r="G51" i="15" s="1"/>
  <c r="E50" i="15"/>
  <c r="I73" i="13"/>
  <c r="G58" i="5" l="1"/>
  <c r="B51" i="14"/>
  <c r="G51" i="14" s="1"/>
  <c r="X58" i="5"/>
  <c r="I51" i="14" s="1"/>
  <c r="V58" i="5"/>
  <c r="F51" i="14" s="1"/>
  <c r="H74" i="13"/>
  <c r="K58" i="5"/>
  <c r="M58" i="5" s="1"/>
  <c r="O58" i="5" s="1"/>
  <c r="P58" i="5"/>
  <c r="Q58" i="5" s="1"/>
  <c r="R58" i="5"/>
  <c r="F51" i="15" l="1"/>
  <c r="I51" i="15"/>
  <c r="S58" i="5"/>
  <c r="Y58" i="5" s="1"/>
  <c r="Z58" i="5" s="1"/>
  <c r="H58" i="5" s="1"/>
  <c r="K74" i="13" s="1"/>
  <c r="L59" i="5" l="1"/>
  <c r="T58" i="5"/>
  <c r="J58" i="5"/>
  <c r="U58" i="5" l="1"/>
  <c r="E51" i="14" s="1"/>
  <c r="H51" i="15"/>
  <c r="J74" i="13"/>
  <c r="H51" i="14"/>
  <c r="AC59" i="5"/>
  <c r="AD59" i="5" s="1"/>
  <c r="W58" i="5"/>
  <c r="AA58" i="5" l="1"/>
  <c r="B59" i="5"/>
  <c r="I74" i="13"/>
  <c r="E51" i="15"/>
  <c r="G59" i="5" l="1"/>
  <c r="V59" i="5"/>
  <c r="X59" i="5"/>
  <c r="B52" i="15"/>
  <c r="G52" i="15" s="1"/>
  <c r="B52" i="14"/>
  <c r="G52" i="14" s="1"/>
  <c r="H75" i="13"/>
  <c r="P59" i="5"/>
  <c r="Q59" i="5" s="1"/>
  <c r="R59" i="5"/>
  <c r="K59" i="5"/>
  <c r="M59" i="5" s="1"/>
  <c r="O59" i="5" s="1"/>
  <c r="I52" i="15" l="1"/>
  <c r="I52" i="14"/>
  <c r="F52" i="15"/>
  <c r="F52" i="14"/>
  <c r="S59" i="5"/>
  <c r="T59" i="5" s="1"/>
  <c r="Y59" i="5" l="1"/>
  <c r="Z59" i="5" s="1"/>
  <c r="H59" i="5" s="1"/>
  <c r="K75" i="13" s="1"/>
  <c r="J75" i="13"/>
  <c r="H52" i="14"/>
  <c r="H52" i="15"/>
  <c r="J59" i="5" l="1"/>
  <c r="L60" i="5"/>
  <c r="AC60" i="5" l="1"/>
  <c r="AD60" i="5" s="1"/>
  <c r="O17" i="16" s="1"/>
  <c r="W59" i="5"/>
  <c r="N17" i="16" s="1"/>
  <c r="U59" i="5"/>
  <c r="I75" i="13" l="1"/>
  <c r="B60" i="5"/>
  <c r="H76" i="13" s="1"/>
  <c r="AA59" i="5"/>
  <c r="E52" i="14"/>
  <c r="E52" i="15"/>
  <c r="B17" i="16" l="1"/>
  <c r="X60" i="5"/>
  <c r="L17" i="16" s="1"/>
  <c r="V60" i="5"/>
  <c r="J17" i="16" s="1"/>
  <c r="K60" i="5"/>
  <c r="M60" i="5" s="1"/>
  <c r="P60" i="5"/>
  <c r="Q60" i="5" s="1"/>
  <c r="B53" i="15"/>
  <c r="G53" i="15" s="1"/>
  <c r="B53" i="14"/>
  <c r="G53" i="14" s="1"/>
  <c r="G60" i="5"/>
  <c r="R60" i="5"/>
  <c r="C17" i="16" l="1"/>
  <c r="D17" i="16"/>
  <c r="I53" i="14"/>
  <c r="I53" i="15"/>
  <c r="F53" i="14"/>
  <c r="F53" i="15"/>
  <c r="O60" i="5"/>
  <c r="S60" i="5" s="1"/>
  <c r="Y60" i="5" l="1"/>
  <c r="Z60" i="5" s="1"/>
  <c r="H60" i="5" s="1"/>
  <c r="K76" i="13" s="1"/>
  <c r="T60" i="5"/>
  <c r="K17" i="16" l="1"/>
  <c r="H53" i="15"/>
  <c r="J76" i="13"/>
  <c r="H53" i="14"/>
  <c r="L61" i="5"/>
  <c r="J60" i="5" l="1"/>
  <c r="H17" i="16" s="1"/>
  <c r="U60" i="5" l="1"/>
  <c r="AC61" i="5"/>
  <c r="AD61" i="5" s="1"/>
  <c r="W60" i="5"/>
  <c r="I17" i="16" l="1"/>
  <c r="I76" i="13"/>
  <c r="E53" i="14"/>
  <c r="E53" i="15"/>
  <c r="AA60" i="5"/>
  <c r="B61" i="5"/>
  <c r="H77" i="13" l="1"/>
  <c r="B54" i="14"/>
  <c r="G54" i="14" s="1"/>
  <c r="B54" i="15"/>
  <c r="G54" i="15" s="1"/>
  <c r="K61" i="5"/>
  <c r="M61" i="5" s="1"/>
  <c r="O61" i="5" s="1"/>
  <c r="G61" i="5"/>
  <c r="P61" i="5"/>
  <c r="Q61" i="5" s="1"/>
  <c r="V61" i="5"/>
  <c r="R61" i="5"/>
  <c r="X61" i="5"/>
  <c r="I54" i="14" l="1"/>
  <c r="I54" i="15"/>
  <c r="F54" i="14"/>
  <c r="F54" i="15"/>
  <c r="S61" i="5"/>
  <c r="T61" i="5" l="1"/>
  <c r="Y61" i="5"/>
  <c r="Z61" i="5" s="1"/>
  <c r="H61" i="5" s="1"/>
  <c r="K77" i="13" s="1"/>
  <c r="J77" i="13" l="1"/>
  <c r="H54" i="14"/>
  <c r="H54" i="15"/>
  <c r="J61" i="5"/>
  <c r="L62" i="5"/>
  <c r="AC62" i="5" l="1"/>
  <c r="AD62" i="5" s="1"/>
  <c r="U61" i="5"/>
  <c r="W61" i="5"/>
  <c r="I77" i="13" l="1"/>
  <c r="E54" i="14"/>
  <c r="E54" i="15"/>
  <c r="AA61" i="5"/>
  <c r="B62" i="5"/>
  <c r="H78" i="13" l="1"/>
  <c r="B55" i="14"/>
  <c r="G55" i="14" s="1"/>
  <c r="B55" i="15"/>
  <c r="G55" i="15" s="1"/>
  <c r="R62" i="5"/>
  <c r="G62" i="5"/>
  <c r="V62" i="5"/>
  <c r="K62" i="5"/>
  <c r="M62" i="5" s="1"/>
  <c r="O62" i="5" s="1"/>
  <c r="P62" i="5"/>
  <c r="Q62" i="5" s="1"/>
  <c r="X62" i="5"/>
  <c r="I55" i="14" l="1"/>
  <c r="I55" i="15"/>
  <c r="F55" i="14"/>
  <c r="F55" i="15"/>
  <c r="S62" i="5"/>
  <c r="Y62" i="5" l="1"/>
  <c r="Z62" i="5" s="1"/>
  <c r="H62" i="5" s="1"/>
  <c r="K78" i="13" s="1"/>
  <c r="T62" i="5"/>
  <c r="J78" i="13" l="1"/>
  <c r="H55" i="14"/>
  <c r="H55" i="15"/>
  <c r="J62" i="5"/>
  <c r="L63" i="5"/>
  <c r="AC63" i="5" l="1"/>
  <c r="AD63" i="5" s="1"/>
  <c r="U62" i="5"/>
  <c r="W62" i="5"/>
  <c r="I78" i="13" l="1"/>
  <c r="E55" i="14"/>
  <c r="E55" i="15"/>
  <c r="AA62" i="5"/>
  <c r="B63" i="5"/>
  <c r="H79" i="13" l="1"/>
  <c r="B56" i="14"/>
  <c r="G56" i="14" s="1"/>
  <c r="B56" i="15"/>
  <c r="G56" i="15" s="1"/>
  <c r="V63" i="5"/>
  <c r="R63" i="5"/>
  <c r="P63" i="5"/>
  <c r="Q63" i="5" s="1"/>
  <c r="G63" i="5"/>
  <c r="K63" i="5"/>
  <c r="M63" i="5" s="1"/>
  <c r="O63" i="5" s="1"/>
  <c r="X63" i="5"/>
  <c r="F56" i="14" l="1"/>
  <c r="F56" i="15"/>
  <c r="I56" i="14"/>
  <c r="I56" i="15"/>
  <c r="S63" i="5"/>
  <c r="T63" i="5" s="1"/>
  <c r="J79" i="13" l="1"/>
  <c r="H56" i="14"/>
  <c r="H56" i="15"/>
  <c r="Y63" i="5"/>
  <c r="Z63" i="5" s="1"/>
  <c r="H63" i="5" s="1"/>
  <c r="J63" i="5" l="1"/>
  <c r="K79" i="13"/>
  <c r="L64" i="5"/>
  <c r="W63" i="5" l="1"/>
  <c r="AA63" i="5" s="1"/>
  <c r="U63" i="5"/>
  <c r="AC64" i="5"/>
  <c r="AD64" i="5" s="1"/>
  <c r="B64" i="5" l="1"/>
  <c r="E56" i="15"/>
  <c r="E56" i="14"/>
  <c r="I79" i="13"/>
  <c r="G64" i="5" l="1"/>
  <c r="V64" i="5"/>
  <c r="B57" i="15"/>
  <c r="G57" i="15" s="1"/>
  <c r="R64" i="5"/>
  <c r="B57" i="14"/>
  <c r="G57" i="14" s="1"/>
  <c r="H80" i="13"/>
  <c r="X64" i="5"/>
  <c r="K64" i="5"/>
  <c r="M64" i="5" s="1"/>
  <c r="O64" i="5" s="1"/>
  <c r="P64" i="5"/>
  <c r="Q64" i="5" s="1"/>
  <c r="F57" i="15" l="1"/>
  <c r="F57" i="14"/>
  <c r="S64" i="5"/>
  <c r="T64" i="5" s="1"/>
  <c r="J80" i="13" s="1"/>
  <c r="I57" i="14"/>
  <c r="I57" i="15"/>
  <c r="H57" i="14" l="1"/>
  <c r="Y64" i="5"/>
  <c r="Z64" i="5" s="1"/>
  <c r="H64" i="5" s="1"/>
  <c r="K80" i="13" s="1"/>
  <c r="H57" i="15"/>
  <c r="L65" i="5" l="1"/>
  <c r="J64" i="5"/>
  <c r="W64" i="5" s="1"/>
  <c r="AA64" i="5" l="1"/>
  <c r="AC65" i="5"/>
  <c r="AD65" i="5" s="1"/>
  <c r="U64" i="5"/>
  <c r="I80" i="13" s="1"/>
  <c r="E57" i="14" l="1"/>
  <c r="E57" i="15"/>
  <c r="B65" i="5"/>
  <c r="P65" i="5" l="1"/>
  <c r="Q65" i="5" s="1"/>
  <c r="B58" i="14"/>
  <c r="G58" i="14" s="1"/>
  <c r="G65" i="5"/>
  <c r="R65" i="5"/>
  <c r="V65" i="5"/>
  <c r="K65" i="5"/>
  <c r="M65" i="5" s="1"/>
  <c r="O65" i="5" s="1"/>
  <c r="H81" i="13"/>
  <c r="X65" i="5"/>
  <c r="B58" i="15"/>
  <c r="G58" i="15" s="1"/>
  <c r="I58" i="14" l="1"/>
  <c r="F58" i="15"/>
  <c r="S65" i="5"/>
  <c r="T65" i="5" s="1"/>
  <c r="F58" i="14"/>
  <c r="I58" i="15"/>
  <c r="H58" i="14" l="1"/>
  <c r="H58" i="15"/>
  <c r="Y65" i="5"/>
  <c r="Z65" i="5" s="1"/>
  <c r="H65" i="5" s="1"/>
  <c r="K81" i="13" s="1"/>
  <c r="J81" i="13"/>
  <c r="J65" i="5" l="1"/>
  <c r="L66" i="5"/>
  <c r="AC66" i="5" l="1"/>
  <c r="AD66" i="5" s="1"/>
  <c r="W65" i="5"/>
  <c r="AA65" i="5" s="1"/>
  <c r="U65" i="5"/>
  <c r="E58" i="15" l="1"/>
  <c r="E58" i="14"/>
  <c r="I81" i="13"/>
  <c r="B66" i="5"/>
  <c r="X66" i="5" l="1"/>
  <c r="K66" i="5"/>
  <c r="M66" i="5" s="1"/>
  <c r="O66" i="5" s="1"/>
  <c r="G66" i="5"/>
  <c r="V66" i="5"/>
  <c r="F59" i="14" s="1"/>
  <c r="H82" i="13"/>
  <c r="P66" i="5"/>
  <c r="Q66" i="5" s="1"/>
  <c r="B59" i="15"/>
  <c r="G59" i="15" s="1"/>
  <c r="B59" i="14"/>
  <c r="G59" i="14" s="1"/>
  <c r="R66" i="5"/>
  <c r="F59" i="15" l="1"/>
  <c r="I59" i="14"/>
  <c r="I59" i="15"/>
  <c r="S66" i="5"/>
  <c r="T66" i="5" s="1"/>
  <c r="Y66" i="5" l="1"/>
  <c r="Z66" i="5" s="1"/>
  <c r="H66" i="5" s="1"/>
  <c r="J66" i="5" s="1"/>
  <c r="H59" i="14"/>
  <c r="J82" i="13"/>
  <c r="H59" i="15"/>
  <c r="L67" i="5" l="1"/>
  <c r="U66" i="5"/>
  <c r="B67" i="5" s="1"/>
  <c r="AC67" i="5"/>
  <c r="AD67" i="5" s="1"/>
  <c r="K82" i="13"/>
  <c r="W66" i="5"/>
  <c r="E59" i="15" l="1"/>
  <c r="O18" i="16"/>
  <c r="K67" i="5"/>
  <c r="M67" i="5" s="1"/>
  <c r="O67" i="5" s="1"/>
  <c r="N18" i="16"/>
  <c r="B18" i="16"/>
  <c r="H83" i="13"/>
  <c r="B60" i="14"/>
  <c r="G60" i="14" s="1"/>
  <c r="V67" i="5"/>
  <c r="P67" i="5"/>
  <c r="Q67" i="5" s="1"/>
  <c r="G67" i="5"/>
  <c r="B60" i="15"/>
  <c r="G60" i="15" s="1"/>
  <c r="R67" i="5"/>
  <c r="E59" i="14"/>
  <c r="I82" i="13"/>
  <c r="X67" i="5"/>
  <c r="AA66" i="5"/>
  <c r="C18" i="16" l="1"/>
  <c r="D18" i="16"/>
  <c r="J18" i="16"/>
  <c r="I60" i="15"/>
  <c r="F60" i="14"/>
  <c r="F60" i="15"/>
  <c r="S67" i="5"/>
  <c r="T67" i="5" s="1"/>
  <c r="L18" i="16"/>
  <c r="I60" i="14"/>
  <c r="Y67" i="5" l="1"/>
  <c r="Z67" i="5" s="1"/>
  <c r="H67" i="5" s="1"/>
  <c r="K83" i="13" s="1"/>
  <c r="K18" i="16"/>
  <c r="H60" i="15"/>
  <c r="J83" i="13"/>
  <c r="H60" i="14"/>
  <c r="L68" i="5" l="1"/>
  <c r="J67" i="5"/>
  <c r="H18" i="16" l="1"/>
  <c r="AC68" i="5"/>
  <c r="AD68" i="5" s="1"/>
  <c r="U67" i="5"/>
  <c r="W67" i="5"/>
  <c r="I18" i="16" l="1"/>
  <c r="I83" i="13"/>
  <c r="E60" i="14"/>
  <c r="E60" i="15"/>
  <c r="AA67" i="5"/>
  <c r="B68" i="5"/>
  <c r="H84" i="13" l="1"/>
  <c r="B61" i="14"/>
  <c r="G61" i="14" s="1"/>
  <c r="B61" i="15"/>
  <c r="G61" i="15" s="1"/>
  <c r="P68" i="5"/>
  <c r="Q68" i="5" s="1"/>
  <c r="V68" i="5"/>
  <c r="K68" i="5"/>
  <c r="M68" i="5" s="1"/>
  <c r="O68" i="5" s="1"/>
  <c r="R68" i="5"/>
  <c r="G68" i="5"/>
  <c r="X68" i="5"/>
  <c r="I61" i="14" l="1"/>
  <c r="I61" i="15"/>
  <c r="F61" i="14"/>
  <c r="F61" i="15"/>
  <c r="S68" i="5"/>
  <c r="Y68" i="5" l="1"/>
  <c r="Z68" i="5" s="1"/>
  <c r="H68" i="5" s="1"/>
  <c r="K84" i="13" s="1"/>
  <c r="T68" i="5"/>
  <c r="J84" i="13" l="1"/>
  <c r="H61" i="14"/>
  <c r="H61" i="15"/>
  <c r="J68" i="5"/>
  <c r="L69" i="5"/>
  <c r="W68" i="5" l="1"/>
  <c r="U68" i="5"/>
  <c r="AC69" i="5"/>
  <c r="AD69" i="5" s="1"/>
  <c r="I84" i="13" l="1"/>
  <c r="E61" i="14"/>
  <c r="E61" i="15"/>
  <c r="B69" i="5"/>
  <c r="AA68" i="5"/>
  <c r="H85" i="13" l="1"/>
  <c r="B62" i="14"/>
  <c r="G62" i="14" s="1"/>
  <c r="B62" i="15"/>
  <c r="G62" i="15" s="1"/>
  <c r="X69" i="5"/>
  <c r="G69" i="5"/>
  <c r="P69" i="5"/>
  <c r="Q69" i="5" s="1"/>
  <c r="V69" i="5"/>
  <c r="K69" i="5"/>
  <c r="M69" i="5" s="1"/>
  <c r="O69" i="5" s="1"/>
  <c r="R69" i="5"/>
  <c r="F62" i="14" l="1"/>
  <c r="F62" i="15"/>
  <c r="I62" i="14"/>
  <c r="I62" i="15"/>
  <c r="S69" i="5"/>
  <c r="Y69" i="5" l="1"/>
  <c r="Z69" i="5" s="1"/>
  <c r="H69" i="5" s="1"/>
  <c r="K85" i="13" s="1"/>
  <c r="T69" i="5"/>
  <c r="J85" i="13" l="1"/>
  <c r="H62" i="14"/>
  <c r="H62" i="15"/>
  <c r="J69" i="5"/>
  <c r="L70" i="5"/>
  <c r="U69" i="5" l="1"/>
  <c r="AC70" i="5"/>
  <c r="AD70" i="5" s="1"/>
  <c r="W69" i="5"/>
  <c r="I85" i="13" l="1"/>
  <c r="E62" i="14"/>
  <c r="E62" i="15"/>
  <c r="AA69" i="5"/>
  <c r="B70" i="5"/>
  <c r="H86" i="13" l="1"/>
  <c r="B63" i="14"/>
  <c r="G63" i="14" s="1"/>
  <c r="B63" i="15"/>
  <c r="G63" i="15" s="1"/>
  <c r="P70" i="5"/>
  <c r="Q70" i="5" s="1"/>
  <c r="K70" i="5"/>
  <c r="M70" i="5" s="1"/>
  <c r="O70" i="5" s="1"/>
  <c r="G70" i="5"/>
  <c r="R70" i="5"/>
  <c r="V70" i="5"/>
  <c r="X70" i="5"/>
  <c r="F63" i="14" l="1"/>
  <c r="F63" i="15"/>
  <c r="I63" i="14"/>
  <c r="I63" i="15"/>
  <c r="S70" i="5"/>
  <c r="T70" i="5" l="1"/>
  <c r="Y70" i="5"/>
  <c r="Z70" i="5" s="1"/>
  <c r="H70" i="5" s="1"/>
  <c r="K86" i="13" s="1"/>
  <c r="J86" i="13" l="1"/>
  <c r="H63" i="14"/>
  <c r="H63" i="15"/>
  <c r="J70" i="5"/>
  <c r="L71" i="5"/>
  <c r="AC71" i="5" l="1"/>
  <c r="AD71" i="5" s="1"/>
  <c r="W70" i="5"/>
  <c r="U70" i="5"/>
  <c r="I86" i="13" l="1"/>
  <c r="E63" i="14"/>
  <c r="E63" i="15"/>
  <c r="B71" i="5"/>
  <c r="AA70" i="5"/>
  <c r="H87" i="13" l="1"/>
  <c r="B64" i="14"/>
  <c r="G64" i="14" s="1"/>
  <c r="B64" i="15"/>
  <c r="G64" i="15" s="1"/>
  <c r="X71" i="5"/>
  <c r="R71" i="5"/>
  <c r="P71" i="5"/>
  <c r="Q71" i="5" s="1"/>
  <c r="G71" i="5"/>
  <c r="K71" i="5"/>
  <c r="M71" i="5" s="1"/>
  <c r="O71" i="5" s="1"/>
  <c r="V71" i="5"/>
  <c r="F64" i="14" l="1"/>
  <c r="F64" i="15"/>
  <c r="I64" i="14"/>
  <c r="I64" i="15"/>
  <c r="S71" i="5"/>
  <c r="T71" i="5" s="1"/>
  <c r="J87" i="13" l="1"/>
  <c r="H64" i="14"/>
  <c r="H64" i="15"/>
  <c r="Y71" i="5"/>
  <c r="Z71" i="5" s="1"/>
  <c r="H71" i="5" s="1"/>
  <c r="J71" i="5" l="1"/>
  <c r="K87" i="13"/>
  <c r="L72" i="5"/>
  <c r="U71" i="5" l="1"/>
  <c r="AC72" i="5"/>
  <c r="AD72" i="5" s="1"/>
  <c r="W71" i="5"/>
  <c r="AA71" i="5" s="1"/>
  <c r="I87" i="13" l="1"/>
  <c r="E64" i="15"/>
  <c r="B72" i="5"/>
  <c r="E64" i="14"/>
  <c r="X72" i="5" l="1"/>
  <c r="I65" i="14" s="1"/>
  <c r="P72" i="5"/>
  <c r="Q72" i="5" s="1"/>
  <c r="B65" i="15"/>
  <c r="G65" i="15" s="1"/>
  <c r="H88" i="13"/>
  <c r="B65" i="14"/>
  <c r="G65" i="14" s="1"/>
  <c r="G72" i="5"/>
  <c r="R72" i="5"/>
  <c r="V72" i="5"/>
  <c r="K72" i="5"/>
  <c r="M72" i="5" s="1"/>
  <c r="O72" i="5" s="1"/>
  <c r="I65" i="15" l="1"/>
  <c r="S72" i="5"/>
  <c r="T72" i="5" s="1"/>
  <c r="F65" i="15"/>
  <c r="F65" i="14"/>
  <c r="Y72" i="5" l="1"/>
  <c r="Z72" i="5" s="1"/>
  <c r="H72" i="5" s="1"/>
  <c r="K88" i="13" s="1"/>
  <c r="J88" i="13"/>
  <c r="H65" i="14"/>
  <c r="H65" i="15"/>
  <c r="L73" i="5" l="1"/>
  <c r="J72" i="5"/>
  <c r="AC73" i="5" l="1"/>
  <c r="AD73" i="5" s="1"/>
  <c r="W72" i="5"/>
  <c r="U72" i="5"/>
  <c r="AA72" i="5" l="1"/>
  <c r="B73" i="5"/>
  <c r="E65" i="15"/>
  <c r="E65" i="14"/>
  <c r="I88" i="13"/>
  <c r="X73" i="5" l="1"/>
  <c r="R73" i="5"/>
  <c r="G73" i="5"/>
  <c r="P73" i="5"/>
  <c r="Q73" i="5" s="1"/>
  <c r="B66" i="15"/>
  <c r="G66" i="15" s="1"/>
  <c r="B66" i="14"/>
  <c r="G66" i="14" s="1"/>
  <c r="H89" i="13"/>
  <c r="V73" i="5"/>
  <c r="K73" i="5"/>
  <c r="M73" i="5" s="1"/>
  <c r="O73" i="5" s="1"/>
  <c r="I66" i="15" l="1"/>
  <c r="I66" i="14"/>
  <c r="S73" i="5"/>
  <c r="Y73" i="5" s="1"/>
  <c r="Z73" i="5" s="1"/>
  <c r="H73" i="5" s="1"/>
  <c r="K89" i="13" s="1"/>
  <c r="F66" i="14"/>
  <c r="F66" i="15"/>
  <c r="J73" i="5" l="1"/>
  <c r="T73" i="5"/>
  <c r="L74" i="5"/>
  <c r="AC74" i="5" l="1"/>
  <c r="AD74" i="5" s="1"/>
  <c r="O19" i="16" s="1"/>
  <c r="H66" i="14"/>
  <c r="H66" i="15"/>
  <c r="J89" i="13"/>
  <c r="U73" i="5"/>
  <c r="W73" i="5"/>
  <c r="N19" i="16" s="1"/>
  <c r="B74" i="5" l="1"/>
  <c r="H90" i="13" s="1"/>
  <c r="I89" i="13"/>
  <c r="E66" i="15"/>
  <c r="AA73" i="5"/>
  <c r="E66" i="14"/>
  <c r="B19" i="16" l="1"/>
  <c r="D19" i="16" s="1"/>
  <c r="P74" i="5"/>
  <c r="Q74" i="5" s="1"/>
  <c r="G74" i="5"/>
  <c r="V74" i="5"/>
  <c r="J19" i="16" s="1"/>
  <c r="R74" i="5"/>
  <c r="B67" i="15"/>
  <c r="G67" i="15" s="1"/>
  <c r="B67" i="14"/>
  <c r="G67" i="14" s="1"/>
  <c r="K74" i="5"/>
  <c r="M74" i="5" s="1"/>
  <c r="X74" i="5"/>
  <c r="I67" i="14" s="1"/>
  <c r="C19" i="16" l="1"/>
  <c r="F67" i="15"/>
  <c r="F67" i="14"/>
  <c r="I67" i="15"/>
  <c r="L19" i="16"/>
  <c r="O74" i="5"/>
  <c r="S74" i="5" s="1"/>
  <c r="Y74" i="5" l="1"/>
  <c r="Z74" i="5" s="1"/>
  <c r="H74" i="5" s="1"/>
  <c r="K90" i="13" s="1"/>
  <c r="T74" i="5"/>
  <c r="K19" i="16" l="1"/>
  <c r="H67" i="15"/>
  <c r="J90" i="13"/>
  <c r="H67" i="14"/>
  <c r="L75" i="5"/>
  <c r="J74" i="5" l="1"/>
  <c r="H19" i="16" s="1"/>
  <c r="AC75" i="5" l="1"/>
  <c r="AD75" i="5" s="1"/>
  <c r="W74" i="5"/>
  <c r="U74" i="5"/>
  <c r="I19" i="16" l="1"/>
  <c r="I90" i="13"/>
  <c r="E67" i="14"/>
  <c r="E67" i="15"/>
  <c r="B75" i="5"/>
  <c r="AA74" i="5"/>
  <c r="H91" i="13" l="1"/>
  <c r="B68" i="14"/>
  <c r="G68" i="14" s="1"/>
  <c r="B68" i="15"/>
  <c r="G68" i="15" s="1"/>
  <c r="X75" i="5"/>
  <c r="K75" i="5"/>
  <c r="M75" i="5" s="1"/>
  <c r="O75" i="5" s="1"/>
  <c r="P75" i="5"/>
  <c r="Q75" i="5" s="1"/>
  <c r="G75" i="5"/>
  <c r="R75" i="5"/>
  <c r="V75" i="5"/>
  <c r="F68" i="14" l="1"/>
  <c r="F68" i="15"/>
  <c r="I68" i="14"/>
  <c r="I68" i="15"/>
  <c r="S75" i="5"/>
  <c r="Y75" i="5" l="1"/>
  <c r="Z75" i="5" s="1"/>
  <c r="H75" i="5" s="1"/>
  <c r="K91" i="13" s="1"/>
  <c r="T75" i="5"/>
  <c r="J91" i="13" l="1"/>
  <c r="H68" i="14"/>
  <c r="H68" i="15"/>
  <c r="J75" i="5"/>
  <c r="L76" i="5"/>
  <c r="U75" i="5" l="1"/>
  <c r="W75" i="5"/>
  <c r="AC76" i="5"/>
  <c r="AD76" i="5" s="1"/>
  <c r="I91" i="13" l="1"/>
  <c r="E68" i="14"/>
  <c r="E68" i="15"/>
  <c r="AA75" i="5"/>
  <c r="B76" i="5"/>
  <c r="H92" i="13" s="1"/>
  <c r="B69" i="14" l="1"/>
  <c r="G69" i="14" s="1"/>
  <c r="B69" i="15"/>
  <c r="G69" i="15" s="1"/>
  <c r="X76" i="5"/>
  <c r="P76" i="5"/>
  <c r="Q76" i="5" s="1"/>
  <c r="K76" i="5"/>
  <c r="M76" i="5" s="1"/>
  <c r="O76" i="5" s="1"/>
  <c r="R76" i="5"/>
  <c r="G76" i="5"/>
  <c r="V76" i="5"/>
  <c r="F69" i="14" l="1"/>
  <c r="F69" i="15"/>
  <c r="I69" i="14"/>
  <c r="I69" i="15"/>
  <c r="S76" i="5"/>
  <c r="T76" i="5" s="1"/>
  <c r="J92" i="13" s="1"/>
  <c r="H69" i="14" l="1"/>
  <c r="H69" i="15"/>
  <c r="Y76" i="5"/>
  <c r="Z76" i="5" s="1"/>
  <c r="H76" i="5" s="1"/>
  <c r="J76" i="5" l="1"/>
  <c r="U76" i="5" s="1"/>
  <c r="I92" i="13" s="1"/>
  <c r="K92" i="13"/>
  <c r="L77" i="5"/>
  <c r="AC77" i="5" l="1"/>
  <c r="AD77" i="5" s="1"/>
  <c r="W76" i="5"/>
  <c r="E69" i="14"/>
  <c r="E69" i="15"/>
  <c r="B77" i="5"/>
  <c r="AA76" i="5" l="1"/>
  <c r="B70" i="15"/>
  <c r="G70" i="15" s="1"/>
  <c r="H93" i="13"/>
  <c r="X77" i="5"/>
  <c r="B70" i="14"/>
  <c r="G70" i="14" s="1"/>
  <c r="K77" i="5"/>
  <c r="M77" i="5" s="1"/>
  <c r="O77" i="5" s="1"/>
  <c r="R77" i="5"/>
  <c r="V77" i="5"/>
  <c r="G77" i="5"/>
  <c r="P77" i="5"/>
  <c r="Q77" i="5" s="1"/>
  <c r="F70" i="14" l="1"/>
  <c r="F70" i="15"/>
  <c r="I70" i="14"/>
  <c r="I70" i="15"/>
  <c r="S77" i="5"/>
  <c r="Y77" i="5" l="1"/>
  <c r="Z77" i="5" s="1"/>
  <c r="H77" i="5" s="1"/>
  <c r="K93" i="13" s="1"/>
  <c r="T77" i="5"/>
  <c r="J93" i="13" l="1"/>
  <c r="H70" i="14"/>
  <c r="H70" i="15"/>
  <c r="J77" i="5"/>
  <c r="L78" i="5"/>
  <c r="AC78" i="5" l="1"/>
  <c r="AD78" i="5" s="1"/>
  <c r="W77" i="5"/>
  <c r="U77" i="5"/>
  <c r="I93" i="13" l="1"/>
  <c r="E70" i="14"/>
  <c r="E70" i="15"/>
  <c r="B78" i="5"/>
  <c r="H94" i="13" s="1"/>
  <c r="AA77" i="5"/>
  <c r="B71" i="14" l="1"/>
  <c r="G71" i="14" s="1"/>
  <c r="B71" i="15"/>
  <c r="G71" i="15" s="1"/>
  <c r="X78" i="5"/>
  <c r="P78" i="5"/>
  <c r="Q78" i="5" s="1"/>
  <c r="G78" i="5"/>
  <c r="R78" i="5"/>
  <c r="V78" i="5"/>
  <c r="K78" i="5"/>
  <c r="M78" i="5" s="1"/>
  <c r="O78" i="5" s="1"/>
  <c r="F71" i="14" l="1"/>
  <c r="F71" i="15"/>
  <c r="I71" i="14"/>
  <c r="I71" i="15"/>
  <c r="S78" i="5"/>
  <c r="T78" i="5" s="1"/>
  <c r="J94" i="13" s="1"/>
  <c r="H71" i="14" l="1"/>
  <c r="H71" i="15"/>
  <c r="Y78" i="5"/>
  <c r="Z78" i="5" s="1"/>
  <c r="H78" i="5" s="1"/>
  <c r="J78" i="5" l="1"/>
  <c r="AC79" i="5" s="1"/>
  <c r="AD79" i="5" s="1"/>
  <c r="K94" i="13"/>
  <c r="L79" i="5"/>
  <c r="W78" i="5" l="1"/>
  <c r="U78" i="5"/>
  <c r="I94" i="13" s="1"/>
  <c r="AA78" i="5" l="1"/>
  <c r="E71" i="15"/>
  <c r="B79" i="5"/>
  <c r="E71" i="14"/>
  <c r="H95" i="13" l="1"/>
  <c r="G79" i="5"/>
  <c r="X79" i="5"/>
  <c r="B72" i="15"/>
  <c r="G72" i="15" s="1"/>
  <c r="B72" i="14"/>
  <c r="G72" i="14" s="1"/>
  <c r="P79" i="5"/>
  <c r="Q79" i="5" s="1"/>
  <c r="R79" i="5"/>
  <c r="V79" i="5"/>
  <c r="K79" i="5"/>
  <c r="M79" i="5" s="1"/>
  <c r="O79" i="5" s="1"/>
  <c r="I72" i="14" l="1"/>
  <c r="F72" i="15"/>
  <c r="I72" i="15"/>
  <c r="S79" i="5"/>
  <c r="T79" i="5" s="1"/>
  <c r="F72" i="14"/>
  <c r="J95" i="13" l="1"/>
  <c r="Y79" i="5"/>
  <c r="Z79" i="5" s="1"/>
  <c r="H79" i="5" s="1"/>
  <c r="J79" i="5" s="1"/>
  <c r="H72" i="15"/>
  <c r="H72" i="14"/>
  <c r="U79" i="5" l="1"/>
  <c r="E72" i="15" s="1"/>
  <c r="L80" i="5"/>
  <c r="K95" i="13"/>
  <c r="W79" i="5"/>
  <c r="AA79" i="5" s="1"/>
  <c r="AC80" i="5"/>
  <c r="AD80" i="5" s="1"/>
  <c r="B80" i="5" l="1"/>
  <c r="H96" i="13" s="1"/>
  <c r="E72" i="14"/>
  <c r="I95" i="13"/>
  <c r="K80" i="5" l="1"/>
  <c r="M80" i="5" s="1"/>
  <c r="O80" i="5" s="1"/>
  <c r="B73" i="14"/>
  <c r="G73" i="14" s="1"/>
  <c r="G80" i="5"/>
  <c r="B73" i="15"/>
  <c r="G73" i="15" s="1"/>
  <c r="P80" i="5"/>
  <c r="Q80" i="5" s="1"/>
  <c r="X80" i="5"/>
  <c r="I73" i="15" s="1"/>
  <c r="V80" i="5"/>
  <c r="F73" i="14" s="1"/>
  <c r="R80" i="5"/>
  <c r="I73" i="14" l="1"/>
  <c r="S80" i="5"/>
  <c r="Y80" i="5" s="1"/>
  <c r="Z80" i="5" s="1"/>
  <c r="H80" i="5" s="1"/>
  <c r="K96" i="13" s="1"/>
  <c r="F73" i="15"/>
  <c r="T80" i="5" l="1"/>
  <c r="J96" i="13" s="1"/>
  <c r="J80" i="5"/>
  <c r="L81" i="5"/>
  <c r="H73" i="15" l="1"/>
  <c r="H73" i="14"/>
  <c r="U80" i="5"/>
  <c r="I96" i="13" s="1"/>
  <c r="AC81" i="5"/>
  <c r="AD81" i="5" s="1"/>
  <c r="W80" i="5"/>
  <c r="O20" i="16" l="1"/>
  <c r="N20" i="16"/>
  <c r="E73" i="14"/>
  <c r="E73" i="15"/>
  <c r="AA80" i="5"/>
  <c r="B81" i="5"/>
  <c r="H97" i="13" l="1"/>
  <c r="B20" i="16"/>
  <c r="B74" i="14"/>
  <c r="G74" i="14" s="1"/>
  <c r="B74" i="15"/>
  <c r="G74" i="15" s="1"/>
  <c r="G81" i="5"/>
  <c r="R81" i="5"/>
  <c r="X81" i="5"/>
  <c r="V81" i="5"/>
  <c r="P81" i="5"/>
  <c r="Q81" i="5" s="1"/>
  <c r="K81" i="5"/>
  <c r="C20" i="16" l="1"/>
  <c r="D20" i="16"/>
  <c r="J20" i="16"/>
  <c r="I74" i="15"/>
  <c r="L20" i="16"/>
  <c r="F74" i="14"/>
  <c r="F74" i="15"/>
  <c r="I74" i="14"/>
  <c r="M81" i="5"/>
  <c r="O81" i="5" l="1"/>
  <c r="S81" i="5" s="1"/>
  <c r="Y81" i="5" l="1"/>
  <c r="Z81" i="5" s="1"/>
  <c r="H81" i="5" s="1"/>
  <c r="K97" i="13" s="1"/>
  <c r="T81" i="5"/>
  <c r="K20" i="16" l="1"/>
  <c r="H74" i="15"/>
  <c r="J97" i="13"/>
  <c r="H74" i="14"/>
  <c r="L82" i="5"/>
  <c r="J81" i="5" l="1"/>
  <c r="H20" i="16" l="1"/>
  <c r="W81" i="5"/>
  <c r="U81" i="5"/>
  <c r="AC82" i="5"/>
  <c r="AD82" i="5" s="1"/>
  <c r="I97" i="13" l="1"/>
  <c r="I20" i="16"/>
  <c r="E74" i="14"/>
  <c r="E74" i="15"/>
  <c r="AA81" i="5"/>
  <c r="B82" i="5"/>
  <c r="H98" i="13" s="1"/>
  <c r="B75" i="14" l="1"/>
  <c r="G75" i="14" s="1"/>
  <c r="B75" i="15"/>
  <c r="G75" i="15" s="1"/>
  <c r="R82" i="5"/>
  <c r="K82" i="5"/>
  <c r="M82" i="5" s="1"/>
  <c r="O82" i="5" s="1"/>
  <c r="V82" i="5"/>
  <c r="P82" i="5"/>
  <c r="Q82" i="5" s="1"/>
  <c r="G82" i="5"/>
  <c r="X82" i="5"/>
  <c r="I75" i="14" l="1"/>
  <c r="I75" i="15"/>
  <c r="F75" i="14"/>
  <c r="F75" i="15"/>
  <c r="S82" i="5"/>
  <c r="T82" i="5" l="1"/>
  <c r="J98" i="13" s="1"/>
  <c r="Y82" i="5"/>
  <c r="Z82" i="5" s="1"/>
  <c r="H82" i="5" s="1"/>
  <c r="K98" i="13" s="1"/>
  <c r="H75" i="14" l="1"/>
  <c r="H75" i="15"/>
  <c r="J82" i="5"/>
  <c r="L83" i="5"/>
  <c r="U82" i="5" l="1"/>
  <c r="I98" i="13" s="1"/>
  <c r="AC83" i="5"/>
  <c r="AD83" i="5" s="1"/>
  <c r="W82" i="5"/>
  <c r="AA82" i="5" l="1"/>
  <c r="E75" i="14"/>
  <c r="E75" i="15"/>
  <c r="B83" i="5"/>
  <c r="H99" i="13" l="1"/>
  <c r="B76" i="14"/>
  <c r="G76" i="14" s="1"/>
  <c r="B76" i="15"/>
  <c r="G76" i="15" s="1"/>
  <c r="V83" i="5"/>
  <c r="K83" i="5"/>
  <c r="M83" i="5" s="1"/>
  <c r="O83" i="5" s="1"/>
  <c r="R83" i="5"/>
  <c r="P83" i="5"/>
  <c r="Q83" i="5" s="1"/>
  <c r="X83" i="5"/>
  <c r="G83" i="5"/>
  <c r="I76" i="14" l="1"/>
  <c r="I76" i="15"/>
  <c r="F76" i="14"/>
  <c r="F76" i="15"/>
  <c r="S83" i="5"/>
  <c r="Y83" i="5" l="1"/>
  <c r="Z83" i="5" s="1"/>
  <c r="H83" i="5" s="1"/>
  <c r="K99" i="13" s="1"/>
  <c r="T83" i="5"/>
  <c r="J99" i="13" l="1"/>
  <c r="H76" i="14"/>
  <c r="H76" i="15"/>
  <c r="J83" i="5"/>
  <c r="L84" i="5"/>
  <c r="U83" i="5" l="1"/>
  <c r="AC84" i="5"/>
  <c r="AD84" i="5" s="1"/>
  <c r="W83" i="5"/>
  <c r="AA83" i="5" s="1"/>
  <c r="I99" i="13" l="1"/>
  <c r="E76" i="14"/>
  <c r="E76" i="15"/>
  <c r="B84" i="5"/>
  <c r="H100" i="13" s="1"/>
  <c r="B77" i="14" l="1"/>
  <c r="G77" i="14" s="1"/>
  <c r="B77" i="15"/>
  <c r="G77" i="15" s="1"/>
  <c r="R84" i="5"/>
  <c r="K84" i="5"/>
  <c r="M84" i="5" s="1"/>
  <c r="O84" i="5" s="1"/>
  <c r="P84" i="5"/>
  <c r="Q84" i="5" s="1"/>
  <c r="G84" i="5"/>
  <c r="V84" i="5"/>
  <c r="X84" i="5"/>
  <c r="I77" i="14" l="1"/>
  <c r="I77" i="15"/>
  <c r="F77" i="14"/>
  <c r="F77" i="15"/>
  <c r="S84" i="5"/>
  <c r="Y84" i="5" l="1"/>
  <c r="Z84" i="5" s="1"/>
  <c r="H84" i="5" s="1"/>
  <c r="K100" i="13" s="1"/>
  <c r="T84" i="5"/>
  <c r="J100" i="13" s="1"/>
  <c r="H77" i="14" l="1"/>
  <c r="H77" i="15"/>
  <c r="J84" i="5"/>
  <c r="L85" i="5"/>
  <c r="U84" i="5" l="1"/>
  <c r="I100" i="13" s="1"/>
  <c r="AC85" i="5"/>
  <c r="AD85" i="5" s="1"/>
  <c r="W84" i="5"/>
  <c r="E77" i="14" l="1"/>
  <c r="E77" i="15"/>
  <c r="AA84" i="5"/>
  <c r="B85" i="5"/>
  <c r="H101" i="13" l="1"/>
  <c r="B78" i="14"/>
  <c r="G78" i="14" s="1"/>
  <c r="B78" i="15"/>
  <c r="G78" i="15" s="1"/>
  <c r="K85" i="5"/>
  <c r="M85" i="5" s="1"/>
  <c r="O85" i="5" s="1"/>
  <c r="V85" i="5"/>
  <c r="P85" i="5"/>
  <c r="Q85" i="5" s="1"/>
  <c r="R85" i="5"/>
  <c r="G85" i="5"/>
  <c r="X85" i="5"/>
  <c r="F78" i="14" l="1"/>
  <c r="F78" i="15"/>
  <c r="I78" i="14"/>
  <c r="I78" i="15"/>
  <c r="S85" i="5"/>
  <c r="Y85" i="5" l="1"/>
  <c r="Z85" i="5" s="1"/>
  <c r="H85" i="5" s="1"/>
  <c r="K101" i="13" s="1"/>
  <c r="T85" i="5"/>
  <c r="J101" i="13" l="1"/>
  <c r="H78" i="14"/>
  <c r="H78" i="15"/>
  <c r="J85" i="5"/>
  <c r="L86" i="5"/>
  <c r="AC86" i="5" l="1"/>
  <c r="AD86" i="5" s="1"/>
  <c r="U85" i="5"/>
  <c r="W85" i="5"/>
  <c r="I101" i="13" l="1"/>
  <c r="E78" i="14"/>
  <c r="E78" i="15"/>
  <c r="B86" i="5"/>
  <c r="H102" i="13" s="1"/>
  <c r="AA85" i="5"/>
  <c r="B79" i="14" l="1"/>
  <c r="G79" i="14" s="1"/>
  <c r="B79" i="15"/>
  <c r="G79" i="15" s="1"/>
  <c r="X86" i="5"/>
  <c r="R86" i="5"/>
  <c r="G86" i="5"/>
  <c r="K86" i="5"/>
  <c r="M86" i="5" s="1"/>
  <c r="O86" i="5" s="1"/>
  <c r="V86" i="5"/>
  <c r="P86" i="5"/>
  <c r="Q86" i="5" s="1"/>
  <c r="F79" i="14" l="1"/>
  <c r="F79" i="15"/>
  <c r="I79" i="14"/>
  <c r="I79" i="15"/>
  <c r="S86" i="5"/>
  <c r="Y86" i="5" l="1"/>
  <c r="Z86" i="5" s="1"/>
  <c r="H86" i="5" s="1"/>
  <c r="K102" i="13" s="1"/>
  <c r="T86" i="5"/>
  <c r="J102" i="13" s="1"/>
  <c r="H79" i="14" l="1"/>
  <c r="H79" i="15"/>
  <c r="J86" i="5"/>
  <c r="L87" i="5"/>
  <c r="W86" i="5" l="1"/>
  <c r="AC87" i="5"/>
  <c r="AD87" i="5" s="1"/>
  <c r="U86" i="5"/>
  <c r="I102" i="13" s="1"/>
  <c r="E79" i="14" l="1"/>
  <c r="E79" i="15"/>
  <c r="B87" i="5"/>
  <c r="AA86" i="5"/>
  <c r="H103" i="13" l="1"/>
  <c r="B80" i="14"/>
  <c r="G80" i="14" s="1"/>
  <c r="B80" i="15"/>
  <c r="G80" i="15" s="1"/>
  <c r="X87" i="5"/>
  <c r="R87" i="5"/>
  <c r="G87" i="5"/>
  <c r="V87" i="5"/>
  <c r="P87" i="5"/>
  <c r="Q87" i="5" s="1"/>
  <c r="K87" i="5"/>
  <c r="M87" i="5" s="1"/>
  <c r="O87" i="5" s="1"/>
  <c r="F80" i="14" l="1"/>
  <c r="F80" i="15"/>
  <c r="I80" i="14"/>
  <c r="I80" i="15"/>
  <c r="S87" i="5"/>
  <c r="T87" i="5" s="1"/>
  <c r="J103" i="13" l="1"/>
  <c r="H80" i="14"/>
  <c r="H80" i="15"/>
  <c r="Y87" i="5"/>
  <c r="Z87" i="5" s="1"/>
  <c r="H87" i="5" s="1"/>
  <c r="J87" i="5" l="1"/>
  <c r="K103" i="13"/>
  <c r="L88" i="5"/>
  <c r="U87" i="5" l="1"/>
  <c r="E80" i="14" s="1"/>
  <c r="AC88" i="5"/>
  <c r="AD88" i="5" s="1"/>
  <c r="O21" i="16" s="1"/>
  <c r="W87" i="5"/>
  <c r="B88" i="5" l="1"/>
  <c r="B81" i="15" s="1"/>
  <c r="G81" i="15" s="1"/>
  <c r="E80" i="15"/>
  <c r="I103" i="13"/>
  <c r="AA87" i="5"/>
  <c r="N21" i="16"/>
  <c r="B21" i="16" l="1"/>
  <c r="B81" i="14"/>
  <c r="G81" i="14" s="1"/>
  <c r="H104" i="13"/>
  <c r="V88" i="5"/>
  <c r="J21" i="16" s="1"/>
  <c r="P88" i="5"/>
  <c r="Q88" i="5" s="1"/>
  <c r="R88" i="5"/>
  <c r="X88" i="5"/>
  <c r="I81" i="15" s="1"/>
  <c r="G88" i="5"/>
  <c r="K88" i="5"/>
  <c r="M88" i="5" s="1"/>
  <c r="C21" i="16" l="1"/>
  <c r="D21" i="16"/>
  <c r="F81" i="14"/>
  <c r="F81" i="15"/>
  <c r="I81" i="14"/>
  <c r="L21" i="16"/>
  <c r="O88" i="5"/>
  <c r="S88" i="5" s="1"/>
  <c r="T88" i="5" l="1"/>
  <c r="K21" i="16" s="1"/>
  <c r="Y88" i="5"/>
  <c r="Z88" i="5" s="1"/>
  <c r="H88" i="5" s="1"/>
  <c r="K104" i="13" s="1"/>
  <c r="H81" i="15" l="1"/>
  <c r="J104" i="13"/>
  <c r="H81" i="14"/>
  <c r="L89" i="5"/>
  <c r="J88" i="5" l="1"/>
  <c r="H21" i="16" s="1"/>
  <c r="W88" i="5" l="1"/>
  <c r="AC89" i="5"/>
  <c r="AD89" i="5" s="1"/>
  <c r="U88" i="5"/>
  <c r="I104" i="13" l="1"/>
  <c r="I21" i="16"/>
  <c r="E81" i="14"/>
  <c r="E81" i="15"/>
  <c r="AA88" i="5"/>
  <c r="B89" i="5"/>
  <c r="H105" i="13" l="1"/>
  <c r="B82" i="14"/>
  <c r="G82" i="14" s="1"/>
  <c r="B82" i="15"/>
  <c r="G82" i="15" s="1"/>
  <c r="V89" i="5"/>
  <c r="K89" i="5"/>
  <c r="M89" i="5" s="1"/>
  <c r="O89" i="5" s="1"/>
  <c r="P89" i="5"/>
  <c r="Q89" i="5" s="1"/>
  <c r="X89" i="5"/>
  <c r="R89" i="5"/>
  <c r="G89" i="5"/>
  <c r="I82" i="14" l="1"/>
  <c r="I82" i="15"/>
  <c r="F82" i="14"/>
  <c r="F82" i="15"/>
  <c r="S89" i="5"/>
  <c r="Y89" i="5" l="1"/>
  <c r="Z89" i="5" s="1"/>
  <c r="H89" i="5" s="1"/>
  <c r="K105" i="13" s="1"/>
  <c r="T89" i="5"/>
  <c r="J105" i="13" l="1"/>
  <c r="H82" i="14"/>
  <c r="H82" i="15"/>
  <c r="J89" i="5"/>
  <c r="L90" i="5"/>
  <c r="AC90" i="5" l="1"/>
  <c r="AD90" i="5" s="1"/>
  <c r="U89" i="5"/>
  <c r="W89" i="5"/>
  <c r="AA89" i="5" s="1"/>
  <c r="I105" i="13" l="1"/>
  <c r="E82" i="14"/>
  <c r="E82" i="15"/>
  <c r="B90" i="5"/>
  <c r="H106" i="13" s="1"/>
  <c r="B83" i="14" l="1"/>
  <c r="G83" i="14" s="1"/>
  <c r="B83" i="15"/>
  <c r="G83" i="15" s="1"/>
  <c r="R90" i="5"/>
  <c r="X90" i="5"/>
  <c r="K90" i="5"/>
  <c r="M90" i="5" s="1"/>
  <c r="O90" i="5" s="1"/>
  <c r="G90" i="5"/>
  <c r="V90" i="5"/>
  <c r="P90" i="5"/>
  <c r="Q90" i="5" s="1"/>
  <c r="F83" i="14" l="1"/>
  <c r="F83" i="15"/>
  <c r="I83" i="14"/>
  <c r="I83" i="15"/>
  <c r="S90" i="5"/>
  <c r="Y90" i="5" l="1"/>
  <c r="Z90" i="5" s="1"/>
  <c r="H90" i="5" s="1"/>
  <c r="K106" i="13" s="1"/>
  <c r="T90" i="5"/>
  <c r="J106" i="13" s="1"/>
  <c r="H83" i="14" l="1"/>
  <c r="H83" i="15"/>
  <c r="J90" i="5"/>
  <c r="L91" i="5"/>
  <c r="U90" i="5" l="1"/>
  <c r="I106" i="13" s="1"/>
  <c r="AC91" i="5"/>
  <c r="AD91" i="5" s="1"/>
  <c r="W90" i="5"/>
  <c r="AA90" i="5" l="1"/>
  <c r="E83" i="14"/>
  <c r="E83" i="15"/>
  <c r="B91" i="5"/>
  <c r="H107" i="13" l="1"/>
  <c r="B84" i="14"/>
  <c r="G84" i="14" s="1"/>
  <c r="B84" i="15"/>
  <c r="G84" i="15" s="1"/>
  <c r="G91" i="5"/>
  <c r="P91" i="5"/>
  <c r="Q91" i="5" s="1"/>
  <c r="R91" i="5"/>
  <c r="V91" i="5"/>
  <c r="K91" i="5"/>
  <c r="M91" i="5" s="1"/>
  <c r="O91" i="5" s="1"/>
  <c r="X91" i="5"/>
  <c r="I84" i="14" l="1"/>
  <c r="I84" i="15"/>
  <c r="F84" i="14"/>
  <c r="F84" i="15"/>
  <c r="S91" i="5"/>
  <c r="T91" i="5" s="1"/>
  <c r="J107" i="13" l="1"/>
  <c r="H84" i="14"/>
  <c r="H84" i="15"/>
  <c r="Y91" i="5"/>
  <c r="Z91" i="5" s="1"/>
  <c r="H91" i="5" s="1"/>
  <c r="K107" i="13" s="1"/>
  <c r="J91" i="5" l="1"/>
  <c r="L92" i="5"/>
  <c r="W91" i="5" l="1"/>
  <c r="AA91" i="5" s="1"/>
  <c r="AC92" i="5"/>
  <c r="AD92" i="5" s="1"/>
  <c r="U91" i="5"/>
  <c r="I107" i="13" l="1"/>
  <c r="E84" i="14"/>
  <c r="E84" i="15"/>
  <c r="B92" i="5"/>
  <c r="H108" i="13" s="1"/>
  <c r="B85" i="14" l="1"/>
  <c r="G85" i="14" s="1"/>
  <c r="B85" i="15"/>
  <c r="G85" i="15" s="1"/>
  <c r="G92" i="5"/>
  <c r="K92" i="5"/>
  <c r="M92" i="5" s="1"/>
  <c r="O92" i="5" s="1"/>
  <c r="X92" i="5"/>
  <c r="P92" i="5"/>
  <c r="Q92" i="5" s="1"/>
  <c r="V92" i="5"/>
  <c r="R92" i="5"/>
  <c r="I85" i="14" l="1"/>
  <c r="I85" i="15"/>
  <c r="F85" i="14"/>
  <c r="F85" i="15"/>
  <c r="S92" i="5"/>
  <c r="Y92" i="5" l="1"/>
  <c r="Z92" i="5" s="1"/>
  <c r="H92" i="5" s="1"/>
  <c r="K108" i="13" s="1"/>
  <c r="T92" i="5"/>
  <c r="J108" i="13" s="1"/>
  <c r="H85" i="14" l="1"/>
  <c r="H85" i="15"/>
  <c r="J92" i="5"/>
  <c r="L93" i="5"/>
  <c r="U92" i="5" l="1"/>
  <c r="I108" i="13" s="1"/>
  <c r="W92" i="5"/>
  <c r="AC93" i="5"/>
  <c r="AD93" i="5" s="1"/>
  <c r="AA92" i="5" l="1"/>
  <c r="E85" i="14"/>
  <c r="E85" i="15"/>
  <c r="B93" i="5"/>
  <c r="H109" i="13" l="1"/>
  <c r="B86" i="14"/>
  <c r="G86" i="14" s="1"/>
  <c r="B86" i="15"/>
  <c r="G86" i="15" s="1"/>
  <c r="G93" i="5"/>
  <c r="V93" i="5"/>
  <c r="P93" i="5"/>
  <c r="Q93" i="5" s="1"/>
  <c r="K93" i="5"/>
  <c r="M93" i="5" s="1"/>
  <c r="O93" i="5" s="1"/>
  <c r="R93" i="5"/>
  <c r="X93" i="5"/>
  <c r="F86" i="14" l="1"/>
  <c r="F86" i="15"/>
  <c r="I86" i="14"/>
  <c r="I86" i="15"/>
  <c r="S93" i="5"/>
  <c r="Y93" i="5" l="1"/>
  <c r="Z93" i="5" s="1"/>
  <c r="H93" i="5" s="1"/>
  <c r="K109" i="13" s="1"/>
  <c r="T93" i="5"/>
  <c r="J109" i="13" l="1"/>
  <c r="H86" i="14"/>
  <c r="H86" i="15"/>
  <c r="J93" i="5"/>
  <c r="L94" i="5"/>
  <c r="AC94" i="5" l="1"/>
  <c r="AD94" i="5" s="1"/>
  <c r="W93" i="5"/>
  <c r="AA93" i="5" s="1"/>
  <c r="U93" i="5"/>
  <c r="I109" i="13" l="1"/>
  <c r="E86" i="14"/>
  <c r="E86" i="15"/>
  <c r="B94" i="5"/>
  <c r="H110" i="13" s="1"/>
  <c r="B87" i="14" l="1"/>
  <c r="G87" i="14" s="1"/>
  <c r="B87" i="15"/>
  <c r="G87" i="15" s="1"/>
  <c r="P94" i="5"/>
  <c r="Q94" i="5" s="1"/>
  <c r="R94" i="5"/>
  <c r="G94" i="5"/>
  <c r="K94" i="5"/>
  <c r="M94" i="5" s="1"/>
  <c r="O94" i="5" s="1"/>
  <c r="X94" i="5"/>
  <c r="V94" i="5"/>
  <c r="I87" i="14" l="1"/>
  <c r="I87" i="15"/>
  <c r="F87" i="14"/>
  <c r="F87" i="15"/>
  <c r="S94" i="5"/>
  <c r="T94" i="5" s="1"/>
  <c r="J110" i="13" s="1"/>
  <c r="H87" i="14" l="1"/>
  <c r="H87" i="15"/>
  <c r="Y94" i="5"/>
  <c r="Z94" i="5" s="1"/>
  <c r="H94" i="5" s="1"/>
  <c r="J94" i="5" l="1"/>
  <c r="U94" i="5" s="1"/>
  <c r="I110" i="13" s="1"/>
  <c r="K110" i="13"/>
  <c r="L95" i="5"/>
  <c r="B95" i="5" l="1"/>
  <c r="AC95" i="5"/>
  <c r="AD95" i="5" s="1"/>
  <c r="E87" i="15"/>
  <c r="E87" i="14"/>
  <c r="W94" i="5"/>
  <c r="N22" i="16" l="1"/>
  <c r="O22" i="16"/>
  <c r="H111" i="13"/>
  <c r="B22" i="16"/>
  <c r="AA94" i="5"/>
  <c r="B88" i="15"/>
  <c r="G88" i="15" s="1"/>
  <c r="R95" i="5"/>
  <c r="B88" i="14"/>
  <c r="G88" i="14" s="1"/>
  <c r="K95" i="5"/>
  <c r="M95" i="5" s="1"/>
  <c r="G95" i="5"/>
  <c r="X95" i="5"/>
  <c r="V95" i="5"/>
  <c r="P95" i="5"/>
  <c r="Q95" i="5" s="1"/>
  <c r="C22" i="16" l="1"/>
  <c r="D22" i="16"/>
  <c r="I88" i="15"/>
  <c r="L22" i="16"/>
  <c r="F88" i="14"/>
  <c r="J22" i="16"/>
  <c r="I88" i="14"/>
  <c r="F88" i="15"/>
  <c r="O95" i="5"/>
  <c r="S95" i="5" s="1"/>
  <c r="T95" i="5" l="1"/>
  <c r="Y95" i="5"/>
  <c r="Z95" i="5" s="1"/>
  <c r="H95" i="5" s="1"/>
  <c r="K111" i="13" s="1"/>
  <c r="K22" i="16" l="1"/>
  <c r="H88" i="15"/>
  <c r="J111" i="13"/>
  <c r="H88" i="14"/>
  <c r="L96" i="5"/>
  <c r="J95" i="5" l="1"/>
  <c r="H22" i="16" l="1"/>
  <c r="AC96" i="5"/>
  <c r="AD96" i="5" s="1"/>
  <c r="U95" i="5"/>
  <c r="W95" i="5"/>
  <c r="I111" i="13" l="1"/>
  <c r="I22" i="16"/>
  <c r="E88" i="14"/>
  <c r="E88" i="15"/>
  <c r="AA95" i="5"/>
  <c r="B96" i="5"/>
  <c r="H112" i="13" s="1"/>
  <c r="B89" i="14" l="1"/>
  <c r="G89" i="14" s="1"/>
  <c r="B89" i="15"/>
  <c r="G89" i="15" s="1"/>
  <c r="G96" i="5"/>
  <c r="P96" i="5"/>
  <c r="Q96" i="5" s="1"/>
  <c r="K96" i="5"/>
  <c r="M96" i="5" s="1"/>
  <c r="O96" i="5" s="1"/>
  <c r="V96" i="5"/>
  <c r="R96" i="5"/>
  <c r="X96" i="5"/>
  <c r="F89" i="14" l="1"/>
  <c r="F89" i="15"/>
  <c r="I89" i="14"/>
  <c r="I89" i="15"/>
  <c r="S96" i="5"/>
  <c r="T96" i="5" l="1"/>
  <c r="J112" i="13" s="1"/>
  <c r="Y96" i="5"/>
  <c r="Z96" i="5" s="1"/>
  <c r="H96" i="5" s="1"/>
  <c r="K112" i="13" s="1"/>
  <c r="H89" i="14" l="1"/>
  <c r="H89" i="15"/>
  <c r="J96" i="5"/>
  <c r="L97" i="5"/>
  <c r="U96" i="5" l="1"/>
  <c r="I112" i="13" s="1"/>
  <c r="AC97" i="5"/>
  <c r="AD97" i="5" s="1"/>
  <c r="W96" i="5"/>
  <c r="E89" i="14" l="1"/>
  <c r="E89" i="15"/>
  <c r="AA96" i="5"/>
  <c r="B97" i="5"/>
  <c r="H113" i="13" l="1"/>
  <c r="B90" i="14"/>
  <c r="G90" i="14" s="1"/>
  <c r="B90" i="15"/>
  <c r="G90" i="15" s="1"/>
  <c r="G97" i="5"/>
  <c r="P97" i="5"/>
  <c r="Q97" i="5" s="1"/>
  <c r="V97" i="5"/>
  <c r="K97" i="5"/>
  <c r="M97" i="5" s="1"/>
  <c r="O97" i="5" s="1"/>
  <c r="R97" i="5"/>
  <c r="X97" i="5"/>
  <c r="I90" i="14" l="1"/>
  <c r="I90" i="15"/>
  <c r="F90" i="14"/>
  <c r="F90" i="15"/>
  <c r="S97" i="5"/>
  <c r="T97" i="5" s="1"/>
  <c r="J113" i="13" l="1"/>
  <c r="H90" i="14"/>
  <c r="H90" i="15"/>
  <c r="Y97" i="5"/>
  <c r="Z97" i="5" s="1"/>
  <c r="L98" i="5" l="1"/>
  <c r="H97" i="5"/>
  <c r="J97" i="5" l="1"/>
  <c r="K113" i="13"/>
  <c r="U97" i="5" l="1"/>
  <c r="E90" i="15" s="1"/>
  <c r="W97" i="5"/>
  <c r="AA97" i="5" s="1"/>
  <c r="AC98" i="5"/>
  <c r="AD98" i="5" s="1"/>
  <c r="B98" i="5" l="1"/>
  <c r="K98" i="5" s="1"/>
  <c r="M98" i="5" s="1"/>
  <c r="O98" i="5" s="1"/>
  <c r="E90" i="14"/>
  <c r="I113" i="13"/>
  <c r="X98" i="5" l="1"/>
  <c r="I91" i="15" s="1"/>
  <c r="B91" i="14"/>
  <c r="G91" i="14" s="1"/>
  <c r="B91" i="15"/>
  <c r="G91" i="15" s="1"/>
  <c r="H114" i="13"/>
  <c r="G98" i="5"/>
  <c r="V98" i="5"/>
  <c r="F91" i="15" s="1"/>
  <c r="P98" i="5"/>
  <c r="Q98" i="5" s="1"/>
  <c r="R98" i="5"/>
  <c r="I91" i="14" l="1"/>
  <c r="S98" i="5"/>
  <c r="T98" i="5" s="1"/>
  <c r="J114" i="13" s="1"/>
  <c r="F91" i="14"/>
  <c r="Y98" i="5" l="1"/>
  <c r="Z98" i="5" s="1"/>
  <c r="H98" i="5" s="1"/>
  <c r="K114" i="13" s="1"/>
  <c r="H91" i="15"/>
  <c r="H91" i="14"/>
  <c r="J98" i="5" l="1"/>
  <c r="W98" i="5" s="1"/>
  <c r="L99" i="5"/>
  <c r="AC99" i="5" l="1"/>
  <c r="AD99" i="5" s="1"/>
  <c r="U98" i="5"/>
  <c r="E91" i="15" s="1"/>
  <c r="AA98" i="5"/>
  <c r="I114" i="13" l="1"/>
  <c r="B99" i="5"/>
  <c r="B92" i="14" s="1"/>
  <c r="G92" i="14" s="1"/>
  <c r="E91" i="14"/>
  <c r="V99" i="5" l="1"/>
  <c r="F92" i="14" s="1"/>
  <c r="G99" i="5"/>
  <c r="B92" i="15"/>
  <c r="G92" i="15" s="1"/>
  <c r="R99" i="5"/>
  <c r="X99" i="5"/>
  <c r="I92" i="15" s="1"/>
  <c r="K99" i="5"/>
  <c r="M99" i="5" s="1"/>
  <c r="O99" i="5" s="1"/>
  <c r="P99" i="5"/>
  <c r="Q99" i="5" s="1"/>
  <c r="H115" i="13"/>
  <c r="F92" i="15" l="1"/>
  <c r="S99" i="5"/>
  <c r="T99" i="5" s="1"/>
  <c r="H92" i="14" s="1"/>
  <c r="I92" i="14"/>
  <c r="H92" i="15" l="1"/>
  <c r="Y99" i="5"/>
  <c r="Z99" i="5" s="1"/>
  <c r="H99" i="5" s="1"/>
  <c r="K115" i="13" s="1"/>
  <c r="J115" i="13"/>
  <c r="L100" i="5" l="1"/>
  <c r="J99" i="5"/>
  <c r="U99" i="5" s="1"/>
  <c r="B100" i="5" s="1"/>
  <c r="H116" i="13" s="1"/>
  <c r="W99" i="5" l="1"/>
  <c r="AA99" i="5" s="1"/>
  <c r="AC100" i="5"/>
  <c r="AD100" i="5" s="1"/>
  <c r="E92" i="14"/>
  <c r="E92" i="15"/>
  <c r="I115" i="13"/>
  <c r="P100" i="5"/>
  <c r="Q100" i="5" s="1"/>
  <c r="K100" i="5"/>
  <c r="M100" i="5" s="1"/>
  <c r="O100" i="5" s="1"/>
  <c r="B93" i="15"/>
  <c r="G93" i="15" s="1"/>
  <c r="G100" i="5"/>
  <c r="B93" i="14"/>
  <c r="G93" i="14" s="1"/>
  <c r="R100" i="5"/>
  <c r="V100" i="5"/>
  <c r="F93" i="15" s="1"/>
  <c r="X100" i="5" l="1"/>
  <c r="I93" i="14" s="1"/>
  <c r="S100" i="5"/>
  <c r="Y100" i="5" s="1"/>
  <c r="Z100" i="5" s="1"/>
  <c r="H100" i="5" s="1"/>
  <c r="K116" i="13" s="1"/>
  <c r="F93" i="14"/>
  <c r="I93" i="15" l="1"/>
  <c r="T100" i="5"/>
  <c r="J116" i="13" s="1"/>
  <c r="J100" i="5"/>
  <c r="L101" i="5"/>
  <c r="H93" i="15" l="1"/>
  <c r="H93" i="14"/>
  <c r="U100" i="5"/>
  <c r="I116" i="13" s="1"/>
  <c r="AC101" i="5"/>
  <c r="AD101" i="5" s="1"/>
  <c r="W100" i="5"/>
  <c r="E93" i="14" l="1"/>
  <c r="E93" i="15"/>
  <c r="AA100" i="5"/>
  <c r="B101" i="5"/>
  <c r="H117" i="13" l="1"/>
  <c r="B94" i="14"/>
  <c r="G94" i="14" s="1"/>
  <c r="B94" i="15"/>
  <c r="G94" i="15" s="1"/>
  <c r="X101" i="5"/>
  <c r="G101" i="5"/>
  <c r="R101" i="5"/>
  <c r="K101" i="5"/>
  <c r="M101" i="5" s="1"/>
  <c r="O101" i="5" s="1"/>
  <c r="V101" i="5"/>
  <c r="P101" i="5"/>
  <c r="Q101" i="5" s="1"/>
  <c r="F94" i="14" l="1"/>
  <c r="F94" i="15"/>
  <c r="I94" i="14"/>
  <c r="I94" i="15"/>
  <c r="S101" i="5"/>
  <c r="Y101" i="5" l="1"/>
  <c r="Z101" i="5" s="1"/>
  <c r="H101" i="5" s="1"/>
  <c r="K117" i="13" s="1"/>
  <c r="T101" i="5"/>
  <c r="J117" i="13" l="1"/>
  <c r="H94" i="14"/>
  <c r="H94" i="15"/>
  <c r="J101" i="5"/>
  <c r="L102" i="5"/>
  <c r="AC102" i="5" l="1"/>
  <c r="AD102" i="5" s="1"/>
  <c r="O23" i="16" s="1"/>
  <c r="U101" i="5"/>
  <c r="W101" i="5"/>
  <c r="N23" i="16" s="1"/>
  <c r="I117" i="13" l="1"/>
  <c r="E94" i="14"/>
  <c r="E94" i="15"/>
  <c r="AA101" i="5"/>
  <c r="B102" i="5"/>
  <c r="H118" i="13" l="1"/>
  <c r="B23" i="16"/>
  <c r="B95" i="14"/>
  <c r="G95" i="14" s="1"/>
  <c r="B95" i="15"/>
  <c r="G95" i="15" s="1"/>
  <c r="K102" i="5"/>
  <c r="P102" i="5"/>
  <c r="Q102" i="5" s="1"/>
  <c r="R102" i="5"/>
  <c r="V102" i="5"/>
  <c r="J23" i="16" s="1"/>
  <c r="G102" i="5"/>
  <c r="X102" i="5"/>
  <c r="D23" i="16" l="1"/>
  <c r="C23" i="16"/>
  <c r="I95" i="15"/>
  <c r="L23" i="16"/>
  <c r="F95" i="14"/>
  <c r="F95" i="15"/>
  <c r="I95" i="14"/>
  <c r="M102" i="5"/>
  <c r="O102" i="5" l="1"/>
  <c r="S102" i="5" s="1"/>
  <c r="T102" i="5" l="1"/>
  <c r="K23" i="16" s="1"/>
  <c r="Y102" i="5"/>
  <c r="Z102" i="5" s="1"/>
  <c r="H102" i="5" s="1"/>
  <c r="K118" i="13" s="1"/>
  <c r="H95" i="15" l="1"/>
  <c r="J118" i="13"/>
  <c r="H95" i="14"/>
  <c r="L103" i="5"/>
  <c r="J102" i="5" l="1"/>
  <c r="H23" i="16" s="1"/>
  <c r="AC103" i="5" l="1"/>
  <c r="AD103" i="5" s="1"/>
  <c r="U102" i="5"/>
  <c r="W102" i="5"/>
  <c r="I118" i="13" l="1"/>
  <c r="I23" i="16"/>
  <c r="E95" i="14"/>
  <c r="E95" i="15"/>
  <c r="AA102" i="5"/>
  <c r="B103" i="5"/>
  <c r="H119" i="13" l="1"/>
  <c r="B96" i="14"/>
  <c r="G96" i="14" s="1"/>
  <c r="B96" i="15"/>
  <c r="G96" i="15" s="1"/>
  <c r="X103" i="5"/>
  <c r="P103" i="5"/>
  <c r="Q103" i="5" s="1"/>
  <c r="R103" i="5"/>
  <c r="G103" i="5"/>
  <c r="V103" i="5"/>
  <c r="K103" i="5"/>
  <c r="M103" i="5" s="1"/>
  <c r="O103" i="5" s="1"/>
  <c r="F96" i="14" l="1"/>
  <c r="F96" i="15"/>
  <c r="I96" i="14"/>
  <c r="I96" i="15"/>
  <c r="S103" i="5"/>
  <c r="T103" i="5" s="1"/>
  <c r="J119" i="13" l="1"/>
  <c r="H96" i="14"/>
  <c r="H96" i="15"/>
  <c r="Y103" i="5"/>
  <c r="Z103" i="5" s="1"/>
  <c r="H103" i="5" s="1"/>
  <c r="J103" i="5" l="1"/>
  <c r="K119" i="13"/>
  <c r="L104" i="5"/>
  <c r="W103" i="5" l="1"/>
  <c r="AA103" i="5" s="1"/>
  <c r="AC104" i="5"/>
  <c r="AD104" i="5" s="1"/>
  <c r="U103" i="5"/>
  <c r="I119" i="13" l="1"/>
  <c r="E96" i="14"/>
  <c r="B104" i="5"/>
  <c r="H120" i="13" s="1"/>
  <c r="E96" i="15"/>
  <c r="X104" i="5" l="1"/>
  <c r="I97" i="15" s="1"/>
  <c r="K104" i="5"/>
  <c r="M104" i="5" s="1"/>
  <c r="O104" i="5" s="1"/>
  <c r="P104" i="5"/>
  <c r="Q104" i="5" s="1"/>
  <c r="R104" i="5"/>
  <c r="B97" i="15"/>
  <c r="G97" i="15" s="1"/>
  <c r="G104" i="5"/>
  <c r="V104" i="5"/>
  <c r="F97" i="15" s="1"/>
  <c r="B97" i="14"/>
  <c r="G97" i="14" s="1"/>
  <c r="I97" i="14" l="1"/>
  <c r="F97" i="14"/>
  <c r="S104" i="5"/>
  <c r="T104" i="5" s="1"/>
  <c r="J120" i="13" s="1"/>
  <c r="Y104" i="5" l="1"/>
  <c r="Z104" i="5" s="1"/>
  <c r="L105" i="5" s="1"/>
  <c r="H97" i="15"/>
  <c r="H97" i="14"/>
  <c r="H104" i="5" l="1"/>
  <c r="J104" i="5" s="1"/>
  <c r="U104" i="5" s="1"/>
  <c r="K120" i="13" l="1"/>
  <c r="W104" i="5"/>
  <c r="AC105" i="5"/>
  <c r="AD105" i="5" s="1"/>
  <c r="E97" i="15"/>
  <c r="I120" i="13"/>
  <c r="B105" i="5"/>
  <c r="E97" i="14"/>
  <c r="H121" i="13" l="1"/>
  <c r="AA104" i="5"/>
  <c r="B98" i="14"/>
  <c r="G98" i="14" s="1"/>
  <c r="B98" i="15"/>
  <c r="G98" i="15" s="1"/>
  <c r="V105" i="5"/>
  <c r="K105" i="5"/>
  <c r="M105" i="5" s="1"/>
  <c r="O105" i="5" s="1"/>
  <c r="X105" i="5"/>
  <c r="R105" i="5"/>
  <c r="P105" i="5"/>
  <c r="Q105" i="5" s="1"/>
  <c r="G105" i="5"/>
  <c r="I98" i="14" l="1"/>
  <c r="I98" i="15"/>
  <c r="F98" i="14"/>
  <c r="F98" i="15"/>
  <c r="S105" i="5"/>
  <c r="Y105" i="5" s="1"/>
  <c r="Z105" i="5" s="1"/>
  <c r="H105" i="5" s="1"/>
  <c r="K121" i="13" s="1"/>
  <c r="T105" i="5" l="1"/>
  <c r="J105" i="5"/>
  <c r="L106" i="5"/>
  <c r="J121" i="13" l="1"/>
  <c r="H98" i="14"/>
  <c r="H98" i="15"/>
  <c r="U105" i="5"/>
  <c r="AC106" i="5"/>
  <c r="AD106" i="5" s="1"/>
  <c r="W105" i="5"/>
  <c r="I121" i="13" l="1"/>
  <c r="E98" i="14"/>
  <c r="E98" i="15"/>
  <c r="AA105" i="5"/>
  <c r="B106" i="5"/>
  <c r="H122" i="13" s="1"/>
  <c r="B99" i="14" l="1"/>
  <c r="G99" i="14" s="1"/>
  <c r="B99" i="15"/>
  <c r="G99" i="15" s="1"/>
  <c r="P106" i="5"/>
  <c r="Q106" i="5" s="1"/>
  <c r="K106" i="5"/>
  <c r="M106" i="5" s="1"/>
  <c r="O106" i="5" s="1"/>
  <c r="V106" i="5"/>
  <c r="R106" i="5"/>
  <c r="G106" i="5"/>
  <c r="X106" i="5"/>
  <c r="F99" i="14" l="1"/>
  <c r="F99" i="15"/>
  <c r="I99" i="14"/>
  <c r="I99" i="15"/>
  <c r="S106" i="5"/>
  <c r="Y106" i="5" l="1"/>
  <c r="Z106" i="5" s="1"/>
  <c r="H106" i="5" s="1"/>
  <c r="K122" i="13" s="1"/>
  <c r="T106" i="5"/>
  <c r="J122" i="13" s="1"/>
  <c r="H99" i="14" l="1"/>
  <c r="H99" i="15"/>
  <c r="J106" i="5"/>
  <c r="L107" i="5"/>
  <c r="U106" i="5" l="1"/>
  <c r="I122" i="13" s="1"/>
  <c r="AC107" i="5"/>
  <c r="AD107" i="5" s="1"/>
  <c r="W106" i="5"/>
  <c r="E99" i="14" l="1"/>
  <c r="E99" i="15"/>
  <c r="AA106" i="5"/>
  <c r="B107" i="5"/>
  <c r="H123" i="13" l="1"/>
  <c r="B100" i="14"/>
  <c r="G100" i="14" s="1"/>
  <c r="B100" i="15"/>
  <c r="G100" i="15" s="1"/>
  <c r="K107" i="5"/>
  <c r="M107" i="5" s="1"/>
  <c r="O107" i="5" s="1"/>
  <c r="G107" i="5"/>
  <c r="P107" i="5"/>
  <c r="Q107" i="5" s="1"/>
  <c r="V107" i="5"/>
  <c r="R107" i="5"/>
  <c r="X107" i="5"/>
  <c r="F100" i="14" l="1"/>
  <c r="F100" i="15"/>
  <c r="I100" i="14"/>
  <c r="I100" i="15"/>
  <c r="S107" i="5"/>
  <c r="Y107" i="5" l="1"/>
  <c r="Z107" i="5" s="1"/>
  <c r="H107" i="5" s="1"/>
  <c r="K123" i="13" s="1"/>
  <c r="T107" i="5"/>
  <c r="J123" i="13" l="1"/>
  <c r="H100" i="14"/>
  <c r="H100" i="15"/>
  <c r="J107" i="5"/>
  <c r="L108" i="5"/>
  <c r="U107" i="5" l="1"/>
  <c r="AC108" i="5"/>
  <c r="AD108" i="5" s="1"/>
  <c r="W107" i="5"/>
  <c r="I123" i="13" l="1"/>
  <c r="E100" i="14"/>
  <c r="E100" i="15"/>
  <c r="AA107" i="5"/>
  <c r="B108" i="5"/>
  <c r="H124" i="13" s="1"/>
  <c r="B101" i="14" l="1"/>
  <c r="G101" i="14" s="1"/>
  <c r="B101" i="15"/>
  <c r="G101" i="15" s="1"/>
  <c r="R108" i="5"/>
  <c r="V108" i="5"/>
  <c r="P108" i="5"/>
  <c r="Q108" i="5" s="1"/>
  <c r="K108" i="5"/>
  <c r="M108" i="5" s="1"/>
  <c r="O108" i="5" s="1"/>
  <c r="G108" i="5"/>
  <c r="X108" i="5"/>
  <c r="F101" i="14" l="1"/>
  <c r="F101" i="15"/>
  <c r="I101" i="14"/>
  <c r="I101" i="15"/>
  <c r="S108" i="5"/>
  <c r="Y108" i="5" s="1"/>
  <c r="Z108" i="5" s="1"/>
  <c r="H108" i="5" s="1"/>
  <c r="K124" i="13" s="1"/>
  <c r="T108" i="5" l="1"/>
  <c r="J124" i="13" s="1"/>
  <c r="J108" i="5"/>
  <c r="L109" i="5"/>
  <c r="H101" i="14" l="1"/>
  <c r="H101" i="15"/>
  <c r="U108" i="5"/>
  <c r="I124" i="13" s="1"/>
  <c r="AC109" i="5"/>
  <c r="AD109" i="5" s="1"/>
  <c r="W108" i="5"/>
  <c r="O24" i="16" l="1"/>
  <c r="N24" i="16"/>
  <c r="E101" i="14"/>
  <c r="E101" i="15"/>
  <c r="AA108" i="5"/>
  <c r="B109" i="5"/>
  <c r="H125" i="13" l="1"/>
  <c r="B24" i="16"/>
  <c r="B102" i="14"/>
  <c r="G102" i="14" s="1"/>
  <c r="B102" i="15"/>
  <c r="G102" i="15" s="1"/>
  <c r="R109" i="5"/>
  <c r="P109" i="5"/>
  <c r="Q109" i="5" s="1"/>
  <c r="V109" i="5"/>
  <c r="G109" i="5"/>
  <c r="K109" i="5"/>
  <c r="X109" i="5"/>
  <c r="C24" i="16" l="1"/>
  <c r="D24" i="16"/>
  <c r="J24" i="16"/>
  <c r="I102" i="15"/>
  <c r="L24" i="16"/>
  <c r="F102" i="14"/>
  <c r="F102" i="15"/>
  <c r="I102" i="14"/>
  <c r="M109" i="5"/>
  <c r="O109" i="5" l="1"/>
  <c r="S109" i="5" s="1"/>
  <c r="Y109" i="5" l="1"/>
  <c r="Z109" i="5" s="1"/>
  <c r="H109" i="5" s="1"/>
  <c r="K125" i="13" s="1"/>
  <c r="T109" i="5"/>
  <c r="K24" i="16" l="1"/>
  <c r="H102" i="15"/>
  <c r="J125" i="13"/>
  <c r="H102" i="14"/>
  <c r="L110" i="5"/>
  <c r="J109" i="5" l="1"/>
  <c r="H24" i="16" l="1"/>
  <c r="U109" i="5"/>
  <c r="AC110" i="5"/>
  <c r="AD110" i="5" s="1"/>
  <c r="W109" i="5"/>
  <c r="I125" i="13" l="1"/>
  <c r="I24" i="16"/>
  <c r="E102" i="14"/>
  <c r="E102" i="15"/>
  <c r="AA109" i="5"/>
  <c r="B110" i="5"/>
  <c r="H126" i="13" s="1"/>
  <c r="B103" i="14" l="1"/>
  <c r="G103" i="14" s="1"/>
  <c r="B103" i="15"/>
  <c r="G103" i="15" s="1"/>
  <c r="P110" i="5"/>
  <c r="Q110" i="5" s="1"/>
  <c r="R110" i="5"/>
  <c r="K110" i="5"/>
  <c r="M110" i="5" s="1"/>
  <c r="O110" i="5" s="1"/>
  <c r="V110" i="5"/>
  <c r="G110" i="5"/>
  <c r="X110" i="5"/>
  <c r="I103" i="14" l="1"/>
  <c r="I103" i="15"/>
  <c r="F103" i="14"/>
  <c r="F103" i="15"/>
  <c r="S110" i="5"/>
  <c r="T110" i="5" s="1"/>
  <c r="J126" i="13" s="1"/>
  <c r="H103" i="14" l="1"/>
  <c r="H103" i="15"/>
  <c r="Y110" i="5"/>
  <c r="Z110" i="5" s="1"/>
  <c r="H110" i="5" s="1"/>
  <c r="J110" i="5" l="1"/>
  <c r="U110" i="5" s="1"/>
  <c r="I126" i="13" s="1"/>
  <c r="K126" i="13"/>
  <c r="L111" i="5"/>
  <c r="AC111" i="5" l="1"/>
  <c r="AD111" i="5" s="1"/>
  <c r="W110" i="5"/>
  <c r="E103" i="14"/>
  <c r="E103" i="15"/>
  <c r="B111" i="5"/>
  <c r="H127" i="13" l="1"/>
  <c r="AA110" i="5"/>
  <c r="B104" i="14"/>
  <c r="G104" i="14" s="1"/>
  <c r="B104" i="15"/>
  <c r="G104" i="15" s="1"/>
  <c r="R111" i="5"/>
  <c r="P111" i="5"/>
  <c r="Q111" i="5" s="1"/>
  <c r="K111" i="5"/>
  <c r="M111" i="5" s="1"/>
  <c r="O111" i="5" s="1"/>
  <c r="V111" i="5"/>
  <c r="G111" i="5"/>
  <c r="X111" i="5"/>
  <c r="I104" i="14" l="1"/>
  <c r="I104" i="15"/>
  <c r="F104" i="14"/>
  <c r="F104" i="15"/>
  <c r="S111" i="5"/>
  <c r="Y111" i="5" s="1"/>
  <c r="Z111" i="5" s="1"/>
  <c r="H111" i="5" s="1"/>
  <c r="K127" i="13" s="1"/>
  <c r="T111" i="5" l="1"/>
  <c r="J111" i="5"/>
  <c r="L112" i="5"/>
  <c r="J127" i="13" l="1"/>
  <c r="H104" i="14"/>
  <c r="H104" i="15"/>
  <c r="U111" i="5"/>
  <c r="AC112" i="5"/>
  <c r="AD112" i="5" s="1"/>
  <c r="W111" i="5"/>
  <c r="I127" i="13" l="1"/>
  <c r="E104" i="14"/>
  <c r="E104" i="15"/>
  <c r="AA111" i="5"/>
  <c r="B112" i="5"/>
  <c r="H128" i="13" s="1"/>
  <c r="B105" i="14" l="1"/>
  <c r="G105" i="14" s="1"/>
  <c r="B105" i="15"/>
  <c r="G105" i="15" s="1"/>
  <c r="R112" i="5"/>
  <c r="K112" i="5"/>
  <c r="M112" i="5" s="1"/>
  <c r="O112" i="5" s="1"/>
  <c r="V112" i="5"/>
  <c r="G112" i="5"/>
  <c r="P112" i="5"/>
  <c r="Q112" i="5" s="1"/>
  <c r="X112" i="5"/>
  <c r="I105" i="14" l="1"/>
  <c r="I105" i="15"/>
  <c r="F105" i="14"/>
  <c r="F105" i="15"/>
  <c r="S112" i="5"/>
  <c r="Y112" i="5" l="1"/>
  <c r="Z112" i="5" s="1"/>
  <c r="H112" i="5" s="1"/>
  <c r="K128" i="13" s="1"/>
  <c r="T112" i="5"/>
  <c r="J128" i="13" s="1"/>
  <c r="H105" i="14" l="1"/>
  <c r="H105" i="15"/>
  <c r="J112" i="5"/>
  <c r="L113" i="5"/>
  <c r="U112" i="5" l="1"/>
  <c r="I128" i="13" s="1"/>
  <c r="I16" i="13" s="1"/>
  <c r="AC113" i="5"/>
  <c r="AD113" i="5" s="1"/>
  <c r="W112" i="5"/>
  <c r="E105" i="14" l="1"/>
  <c r="E105" i="15"/>
  <c r="AA112" i="5"/>
  <c r="B113" i="5"/>
  <c r="H129" i="13" l="1"/>
  <c r="B106" i="14"/>
  <c r="G106" i="14" s="1"/>
  <c r="B106" i="15"/>
  <c r="G106" i="15" s="1"/>
  <c r="R113" i="5"/>
  <c r="V113" i="5"/>
  <c r="P113" i="5"/>
  <c r="Q113" i="5" s="1"/>
  <c r="G113" i="5"/>
  <c r="K113" i="5"/>
  <c r="M113" i="5" s="1"/>
  <c r="O113" i="5" s="1"/>
  <c r="X113" i="5"/>
  <c r="I106" i="14" l="1"/>
  <c r="I106" i="15"/>
  <c r="F106" i="14"/>
  <c r="F106" i="15"/>
  <c r="S113" i="5"/>
  <c r="Y113" i="5" s="1"/>
  <c r="Z113" i="5" s="1"/>
  <c r="H113" i="5" s="1"/>
  <c r="K129" i="13" s="1"/>
  <c r="T113" i="5" l="1"/>
  <c r="J113" i="5"/>
  <c r="L114" i="5"/>
  <c r="J129" i="13" l="1"/>
  <c r="H106" i="14"/>
  <c r="H106" i="15"/>
  <c r="U113" i="5"/>
  <c r="AC114" i="5"/>
  <c r="AD114" i="5" s="1"/>
  <c r="W113" i="5"/>
  <c r="I129" i="13" l="1"/>
  <c r="E106" i="14"/>
  <c r="E106" i="15"/>
  <c r="AA113" i="5"/>
  <c r="B114" i="5"/>
  <c r="H130" i="13" s="1"/>
  <c r="B107" i="14" l="1"/>
  <c r="G107" i="14" s="1"/>
  <c r="B107" i="15"/>
  <c r="G107" i="15" s="1"/>
  <c r="G114" i="5"/>
  <c r="K114" i="5"/>
  <c r="M114" i="5" s="1"/>
  <c r="O114" i="5" s="1"/>
  <c r="V114" i="5"/>
  <c r="P114" i="5"/>
  <c r="Q114" i="5" s="1"/>
  <c r="R114" i="5"/>
  <c r="X114" i="5"/>
  <c r="I107" i="14" l="1"/>
  <c r="I107" i="15"/>
  <c r="F107" i="14"/>
  <c r="F107" i="15"/>
  <c r="S114" i="5"/>
  <c r="Y114" i="5" l="1"/>
  <c r="Z114" i="5" s="1"/>
  <c r="H114" i="5" s="1"/>
  <c r="K130" i="13" s="1"/>
  <c r="T114" i="5"/>
  <c r="J130" i="13" s="1"/>
  <c r="H107" i="14" l="1"/>
  <c r="H107" i="15"/>
  <c r="J114" i="5"/>
  <c r="L115" i="5"/>
  <c r="AC115" i="5" l="1"/>
  <c r="AD115" i="5" s="1"/>
  <c r="U114" i="5"/>
  <c r="I130" i="13" s="1"/>
  <c r="W114" i="5"/>
  <c r="E107" i="14" l="1"/>
  <c r="E107" i="15"/>
  <c r="AA114" i="5"/>
  <c r="B115" i="5"/>
  <c r="H131" i="13" l="1"/>
  <c r="B108" i="14"/>
  <c r="G108" i="14" s="1"/>
  <c r="B108" i="15"/>
  <c r="G108" i="15" s="1"/>
  <c r="P115" i="5"/>
  <c r="Q115" i="5" s="1"/>
  <c r="R115" i="5"/>
  <c r="V115" i="5"/>
  <c r="K115" i="5"/>
  <c r="M115" i="5" s="1"/>
  <c r="O115" i="5" s="1"/>
  <c r="G115" i="5"/>
  <c r="X115" i="5"/>
  <c r="F108" i="14" l="1"/>
  <c r="F108" i="15"/>
  <c r="I108" i="14"/>
  <c r="I108" i="15"/>
  <c r="S115" i="5"/>
  <c r="T115" i="5" s="1"/>
  <c r="J131" i="13" l="1"/>
  <c r="H108" i="14"/>
  <c r="H108" i="15"/>
  <c r="Y115" i="5"/>
  <c r="Z115" i="5" s="1"/>
  <c r="H115" i="5" s="1"/>
  <c r="J115" i="5" l="1"/>
  <c r="K131" i="13"/>
  <c r="L116" i="5"/>
  <c r="AC116" i="5" l="1"/>
  <c r="AD116" i="5" s="1"/>
  <c r="O25" i="16" s="1"/>
  <c r="W115" i="5"/>
  <c r="U115" i="5"/>
  <c r="I131" i="13" l="1"/>
  <c r="AA115" i="5"/>
  <c r="N25" i="16"/>
  <c r="B116" i="5"/>
  <c r="E108" i="15"/>
  <c r="E108" i="14"/>
  <c r="H132" i="13" l="1"/>
  <c r="H18" i="13" s="1"/>
  <c r="B25" i="16"/>
  <c r="K116" i="5"/>
  <c r="M116" i="5" s="1"/>
  <c r="G116" i="5"/>
  <c r="B109" i="15"/>
  <c r="G109" i="15" s="1"/>
  <c r="X116" i="5"/>
  <c r="B109" i="14"/>
  <c r="G109" i="14" s="1"/>
  <c r="R116" i="5"/>
  <c r="P116" i="5"/>
  <c r="Q116" i="5" s="1"/>
  <c r="V116" i="5"/>
  <c r="C25" i="16" l="1"/>
  <c r="D25" i="16"/>
  <c r="I109" i="15"/>
  <c r="L25" i="16"/>
  <c r="F109" i="15"/>
  <c r="J25" i="16"/>
  <c r="I109" i="14"/>
  <c r="F109" i="14"/>
  <c r="O116" i="5"/>
  <c r="S116" i="5" s="1"/>
  <c r="T116" i="5" l="1"/>
  <c r="K25" i="16" s="1"/>
  <c r="Y116" i="5"/>
  <c r="Z116" i="5" s="1"/>
  <c r="H116" i="5" s="1"/>
  <c r="K132" i="13" s="1"/>
  <c r="H109" i="15" l="1"/>
  <c r="J132" i="13"/>
  <c r="J18" i="13" s="1"/>
  <c r="H109" i="14"/>
  <c r="L117" i="5"/>
  <c r="J116" i="5" l="1"/>
  <c r="H25" i="16" s="1"/>
  <c r="U116" i="5" l="1"/>
  <c r="AC117" i="5"/>
  <c r="AD117" i="5" s="1"/>
  <c r="W116" i="5"/>
  <c r="I132" i="13" l="1"/>
  <c r="I18" i="13" s="1"/>
  <c r="I25" i="16"/>
  <c r="E109" i="14"/>
  <c r="E109" i="15"/>
  <c r="AA116" i="5"/>
  <c r="B117" i="5"/>
  <c r="H133" i="13" l="1"/>
  <c r="B110" i="14"/>
  <c r="G110" i="14" s="1"/>
  <c r="B110" i="15"/>
  <c r="G110" i="15" s="1"/>
  <c r="R117" i="5"/>
  <c r="P117" i="5"/>
  <c r="Q117" i="5" s="1"/>
  <c r="V117" i="5"/>
  <c r="K117" i="5"/>
  <c r="M117" i="5" s="1"/>
  <c r="O117" i="5" s="1"/>
  <c r="G117" i="5"/>
  <c r="X117" i="5"/>
  <c r="I110" i="14" l="1"/>
  <c r="I110" i="15"/>
  <c r="F110" i="14"/>
  <c r="F110" i="15"/>
  <c r="S117" i="5"/>
  <c r="Y117" i="5" s="1"/>
  <c r="Z117" i="5" s="1"/>
  <c r="H117" i="5" s="1"/>
  <c r="K133" i="13" s="1"/>
  <c r="T117" i="5" l="1"/>
  <c r="J117" i="5"/>
  <c r="L118" i="5"/>
  <c r="J133" i="13" l="1"/>
  <c r="H110" i="14"/>
  <c r="H110" i="15"/>
  <c r="AC118" i="5"/>
  <c r="AD118" i="5" s="1"/>
  <c r="U117" i="5"/>
  <c r="W117" i="5"/>
  <c r="E110" i="15" l="1"/>
  <c r="I133" i="13"/>
  <c r="B118" i="5"/>
  <c r="H134" i="13" s="1"/>
  <c r="E110" i="14"/>
  <c r="AA117" i="5"/>
  <c r="B111" i="14" l="1"/>
  <c r="G111" i="14" s="1"/>
  <c r="B111" i="15"/>
  <c r="G111" i="15" s="1"/>
  <c r="R118" i="5"/>
  <c r="P118" i="5"/>
  <c r="Q118" i="5" s="1"/>
  <c r="V118" i="5"/>
  <c r="G118" i="5"/>
  <c r="X118" i="5"/>
  <c r="K118" i="5"/>
  <c r="M118" i="5" s="1"/>
  <c r="O118" i="5" s="1"/>
  <c r="I111" i="14" l="1"/>
  <c r="I111" i="15"/>
  <c r="F111" i="14"/>
  <c r="F111" i="15"/>
  <c r="S118" i="5"/>
  <c r="T118" i="5" s="1"/>
  <c r="J134" i="13" s="1"/>
  <c r="H111" i="14" l="1"/>
  <c r="H111" i="15"/>
  <c r="Y118" i="5"/>
  <c r="Z118" i="5" s="1"/>
  <c r="H118" i="5" s="1"/>
  <c r="J118" i="5" l="1"/>
  <c r="AC119" i="5" s="1"/>
  <c r="AD119" i="5" s="1"/>
  <c r="K134" i="13"/>
  <c r="L119" i="5"/>
  <c r="W118" i="5" l="1"/>
  <c r="U118" i="5"/>
  <c r="E111" i="15" s="1"/>
  <c r="AA118" i="5" l="1"/>
  <c r="E111" i="14"/>
  <c r="I134" i="13"/>
  <c r="B119" i="5"/>
  <c r="H135" i="13" l="1"/>
  <c r="G119" i="5"/>
  <c r="R119" i="5"/>
  <c r="V119" i="5"/>
  <c r="K119" i="5"/>
  <c r="M119" i="5" s="1"/>
  <c r="O119" i="5" s="1"/>
  <c r="B112" i="15"/>
  <c r="G112" i="15" s="1"/>
  <c r="B112" i="14"/>
  <c r="G112" i="14" s="1"/>
  <c r="X119" i="5"/>
  <c r="P119" i="5"/>
  <c r="Q119" i="5" s="1"/>
  <c r="F112" i="15" l="1"/>
  <c r="I112" i="14"/>
  <c r="S119" i="5"/>
  <c r="Y119" i="5" s="1"/>
  <c r="Z119" i="5" s="1"/>
  <c r="H119" i="5" s="1"/>
  <c r="K135" i="13" s="1"/>
  <c r="F112" i="14"/>
  <c r="I112" i="15"/>
  <c r="L120" i="5" l="1"/>
  <c r="T119" i="5"/>
  <c r="J119" i="5"/>
  <c r="W119" i="5" l="1"/>
  <c r="AA119" i="5" s="1"/>
  <c r="J135" i="13"/>
  <c r="H112" i="14"/>
  <c r="H112" i="15"/>
  <c r="AC120" i="5"/>
  <c r="AD120" i="5" s="1"/>
  <c r="U119" i="5"/>
  <c r="E112" i="15" l="1"/>
  <c r="E112" i="14"/>
  <c r="B120" i="5"/>
  <c r="H136" i="13" s="1"/>
  <c r="I135" i="13"/>
  <c r="K120" i="5" l="1"/>
  <c r="M120" i="5" s="1"/>
  <c r="O120" i="5" s="1"/>
  <c r="P120" i="5"/>
  <c r="Q120" i="5" s="1"/>
  <c r="B113" i="15"/>
  <c r="G113" i="15" s="1"/>
  <c r="V120" i="5"/>
  <c r="F113" i="15" s="1"/>
  <c r="B113" i="14"/>
  <c r="G113" i="14" s="1"/>
  <c r="G120" i="5"/>
  <c r="R120" i="5"/>
  <c r="X120" i="5"/>
  <c r="I113" i="14" s="1"/>
  <c r="S120" i="5" l="1"/>
  <c r="T120" i="5" s="1"/>
  <c r="J136" i="13" s="1"/>
  <c r="F113" i="14"/>
  <c r="I113" i="15"/>
  <c r="Y120" i="5" l="1"/>
  <c r="Z120" i="5" s="1"/>
  <c r="H120" i="5" s="1"/>
  <c r="K136" i="13" s="1"/>
  <c r="H113" i="15"/>
  <c r="H113" i="14"/>
  <c r="L121" i="5" l="1"/>
  <c r="J120" i="5"/>
  <c r="U120" i="5" s="1"/>
  <c r="E113" i="15" s="1"/>
  <c r="E113" i="14" l="1"/>
  <c r="B121" i="5"/>
  <c r="I136" i="13"/>
  <c r="AC121" i="5"/>
  <c r="AD121" i="5" s="1"/>
  <c r="W120" i="5"/>
  <c r="AA120" i="5" l="1"/>
  <c r="H137" i="13"/>
  <c r="B114" i="15"/>
  <c r="G114" i="15" s="1"/>
  <c r="R121" i="5"/>
  <c r="B114" i="14"/>
  <c r="G114" i="14" s="1"/>
  <c r="K121" i="5"/>
  <c r="M121" i="5" s="1"/>
  <c r="O121" i="5" s="1"/>
  <c r="P121" i="5"/>
  <c r="Q121" i="5" s="1"/>
  <c r="G121" i="5"/>
  <c r="X121" i="5"/>
  <c r="V121" i="5"/>
  <c r="F114" i="15" l="1"/>
  <c r="I114" i="14"/>
  <c r="I114" i="15"/>
  <c r="S121" i="5"/>
  <c r="T121" i="5" s="1"/>
  <c r="F114" i="14"/>
  <c r="J137" i="13" l="1"/>
  <c r="H114" i="14"/>
  <c r="H114" i="15"/>
  <c r="Y121" i="5"/>
  <c r="Z121" i="5" s="1"/>
  <c r="H121" i="5" s="1"/>
  <c r="J121" i="5" s="1"/>
  <c r="U121" i="5" l="1"/>
  <c r="L122" i="5"/>
  <c r="K137" i="13"/>
  <c r="AC122" i="5"/>
  <c r="AD122" i="5" s="1"/>
  <c r="W121" i="5"/>
  <c r="AA121" i="5" s="1"/>
  <c r="E114" i="15" l="1"/>
  <c r="B122" i="5"/>
  <c r="P122" i="5" s="1"/>
  <c r="Q122" i="5" s="1"/>
  <c r="I137" i="13"/>
  <c r="E114" i="14"/>
  <c r="R122" i="5" l="1"/>
  <c r="K122" i="5"/>
  <c r="M122" i="5" s="1"/>
  <c r="O122" i="5" s="1"/>
  <c r="G122" i="5"/>
  <c r="H138" i="13"/>
  <c r="B115" i="15"/>
  <c r="G115" i="15" s="1"/>
  <c r="V122" i="5"/>
  <c r="F115" i="14" s="1"/>
  <c r="B115" i="14"/>
  <c r="G115" i="14" s="1"/>
  <c r="X122" i="5"/>
  <c r="I115" i="15" s="1"/>
  <c r="S122" i="5" l="1"/>
  <c r="T122" i="5" s="1"/>
  <c r="H115" i="14" s="1"/>
  <c r="F115" i="15"/>
  <c r="I115" i="14"/>
  <c r="H115" i="15" l="1"/>
  <c r="J138" i="13"/>
  <c r="Y122" i="5"/>
  <c r="Z122" i="5" s="1"/>
  <c r="H122" i="5" s="1"/>
  <c r="J122" i="5" s="1"/>
  <c r="AC123" i="5" s="1"/>
  <c r="AD123" i="5" s="1"/>
  <c r="L123" i="5" l="1"/>
  <c r="K138" i="13"/>
  <c r="O26" i="16"/>
  <c r="W122" i="5"/>
  <c r="U122" i="5"/>
  <c r="E115" i="15" s="1"/>
  <c r="N26" i="16" l="1"/>
  <c r="AA122" i="5"/>
  <c r="I138" i="13"/>
  <c r="B123" i="5"/>
  <c r="E115" i="14"/>
  <c r="K123" i="5" l="1"/>
  <c r="M123" i="5" s="1"/>
  <c r="B26" i="16"/>
  <c r="P123" i="5"/>
  <c r="Q123" i="5" s="1"/>
  <c r="V123" i="5"/>
  <c r="R123" i="5"/>
  <c r="B116" i="15"/>
  <c r="G116" i="15" s="1"/>
  <c r="G123" i="5"/>
  <c r="H139" i="13"/>
  <c r="B116" i="14"/>
  <c r="G116" i="14" s="1"/>
  <c r="X123" i="5"/>
  <c r="C26" i="16" l="1"/>
  <c r="D26" i="16"/>
  <c r="L26" i="16"/>
  <c r="F116" i="15"/>
  <c r="J26" i="16"/>
  <c r="F116" i="14"/>
  <c r="I116" i="15"/>
  <c r="I116" i="14"/>
  <c r="O123" i="5"/>
  <c r="S123" i="5" s="1"/>
  <c r="T123" i="5" l="1"/>
  <c r="Y123" i="5"/>
  <c r="Z123" i="5" s="1"/>
  <c r="J139" i="13" l="1"/>
  <c r="K26" i="16"/>
  <c r="H123" i="5"/>
  <c r="K139" i="13" s="1"/>
  <c r="L124" i="5"/>
  <c r="H116" i="15"/>
  <c r="H116" i="14"/>
  <c r="J123" i="5" l="1"/>
  <c r="H26" i="16" l="1"/>
  <c r="W123" i="5"/>
  <c r="AC124" i="5"/>
  <c r="AD124" i="5" s="1"/>
  <c r="U123" i="5"/>
  <c r="I139" i="13" l="1"/>
  <c r="I26" i="16"/>
  <c r="B124" i="5"/>
  <c r="H140" i="13" s="1"/>
  <c r="E116" i="15"/>
  <c r="E116" i="14"/>
  <c r="AA123" i="5"/>
  <c r="R124" i="5" l="1"/>
  <c r="V124" i="5"/>
  <c r="B117" i="14"/>
  <c r="G117" i="14" s="1"/>
  <c r="K124" i="5"/>
  <c r="M124" i="5" s="1"/>
  <c r="O124" i="5" s="1"/>
  <c r="X124" i="5"/>
  <c r="B117" i="15"/>
  <c r="G117" i="15" s="1"/>
  <c r="G124" i="5"/>
  <c r="P124" i="5"/>
  <c r="Q124" i="5" s="1"/>
  <c r="S124" i="5" l="1"/>
  <c r="F117" i="14"/>
  <c r="F117" i="15"/>
  <c r="I117" i="14"/>
  <c r="I117" i="15"/>
  <c r="Y124" i="5" l="1"/>
  <c r="Z124" i="5" s="1"/>
  <c r="T124" i="5"/>
  <c r="J140" i="13" s="1"/>
  <c r="H117" i="14" l="1"/>
  <c r="H117" i="15"/>
  <c r="H124" i="5"/>
  <c r="L125" i="5"/>
  <c r="J124" i="5" l="1"/>
  <c r="U124" i="5" s="1"/>
  <c r="I140" i="13" s="1"/>
  <c r="K140" i="13"/>
  <c r="W124" i="5" l="1"/>
  <c r="AA124" i="5" s="1"/>
  <c r="AC125" i="5"/>
  <c r="AD125" i="5" s="1"/>
  <c r="E117" i="15"/>
  <c r="B125" i="5"/>
  <c r="E117" i="14"/>
  <c r="X125" i="5" l="1"/>
  <c r="I118" i="14" s="1"/>
  <c r="H141" i="13"/>
  <c r="K125" i="5"/>
  <c r="M125" i="5" s="1"/>
  <c r="O125" i="5" s="1"/>
  <c r="B118" i="14"/>
  <c r="G118" i="14" s="1"/>
  <c r="G125" i="5"/>
  <c r="R125" i="5"/>
  <c r="P125" i="5"/>
  <c r="Q125" i="5" s="1"/>
  <c r="B118" i="15"/>
  <c r="G118" i="15" s="1"/>
  <c r="V125" i="5"/>
  <c r="I118" i="15" l="1"/>
  <c r="S125" i="5"/>
  <c r="F118" i="14"/>
  <c r="F118" i="15"/>
  <c r="Y125" i="5" l="1"/>
  <c r="Z125" i="5" s="1"/>
  <c r="T125" i="5"/>
  <c r="J141" i="13" s="1"/>
  <c r="H118" i="14" l="1"/>
  <c r="H118" i="15"/>
  <c r="H125" i="5"/>
  <c r="L126" i="5"/>
  <c r="J125" i="5" l="1"/>
  <c r="U125" i="5" s="1"/>
  <c r="I141" i="13" s="1"/>
  <c r="K141" i="13"/>
  <c r="AC126" i="5" l="1"/>
  <c r="AD126" i="5" s="1"/>
  <c r="W125" i="5"/>
  <c r="AA125" i="5" s="1"/>
  <c r="E118" i="15"/>
  <c r="B126" i="5"/>
  <c r="E118" i="14"/>
  <c r="X126" i="5" l="1"/>
  <c r="I119" i="15" s="1"/>
  <c r="H142" i="13"/>
  <c r="G126" i="5"/>
  <c r="R126" i="5"/>
  <c r="B119" i="14"/>
  <c r="G119" i="14" s="1"/>
  <c r="K126" i="5"/>
  <c r="M126" i="5" s="1"/>
  <c r="O126" i="5" s="1"/>
  <c r="V126" i="5"/>
  <c r="P126" i="5"/>
  <c r="Q126" i="5" s="1"/>
  <c r="B119" i="15"/>
  <c r="G119" i="15" s="1"/>
  <c r="I119" i="14" l="1"/>
  <c r="S126" i="5"/>
  <c r="Y126" i="5" s="1"/>
  <c r="Z126" i="5" s="1"/>
  <c r="F119" i="15"/>
  <c r="F119" i="14"/>
  <c r="T126" i="5" l="1"/>
  <c r="H126" i="5"/>
  <c r="L127" i="5"/>
  <c r="J126" i="5" l="1"/>
  <c r="AC127" i="5" s="1"/>
  <c r="AD127" i="5" s="1"/>
  <c r="K142" i="13"/>
  <c r="H119" i="14"/>
  <c r="J142" i="13"/>
  <c r="H119" i="15"/>
  <c r="W126" i="5" l="1"/>
  <c r="AA126" i="5" s="1"/>
  <c r="U126" i="5"/>
  <c r="I142" i="13" s="1"/>
  <c r="E119" i="14" l="1"/>
  <c r="B127" i="5"/>
  <c r="V127" i="5" s="1"/>
  <c r="E119" i="15"/>
  <c r="P127" i="5" l="1"/>
  <c r="Q127" i="5" s="1"/>
  <c r="H143" i="13"/>
  <c r="X127" i="5"/>
  <c r="B120" i="15"/>
  <c r="G120" i="15" s="1"/>
  <c r="B120" i="14"/>
  <c r="G120" i="14" s="1"/>
  <c r="K127" i="5"/>
  <c r="M127" i="5" s="1"/>
  <c r="O127" i="5" s="1"/>
  <c r="G127" i="5"/>
  <c r="R127" i="5"/>
  <c r="F120" i="14"/>
  <c r="F120" i="15"/>
  <c r="I120" i="14" l="1"/>
  <c r="I120" i="15"/>
  <c r="S127" i="5"/>
  <c r="T127" i="5" s="1"/>
  <c r="J143" i="13" s="1"/>
  <c r="H120" i="15" l="1"/>
  <c r="H120" i="14"/>
  <c r="Y127" i="5"/>
  <c r="Z127" i="5" s="1"/>
  <c r="H127" i="5" s="1"/>
  <c r="J127" i="5" s="1"/>
  <c r="L128" i="5" l="1"/>
  <c r="K143" i="13"/>
  <c r="U127" i="5"/>
  <c r="I143" i="13" s="1"/>
  <c r="AC128" i="5"/>
  <c r="AD128" i="5" s="1"/>
  <c r="W127" i="5"/>
  <c r="AA127" i="5" s="1"/>
  <c r="E120" i="14" l="1"/>
  <c r="E120" i="15"/>
  <c r="B128" i="5"/>
  <c r="X128" i="5" s="1"/>
  <c r="B121" i="15" l="1"/>
  <c r="G121" i="15" s="1"/>
  <c r="B121" i="14"/>
  <c r="G121" i="14" s="1"/>
  <c r="R128" i="5"/>
  <c r="P128" i="5"/>
  <c r="Q128" i="5" s="1"/>
  <c r="G128" i="5"/>
  <c r="V128" i="5"/>
  <c r="F121" i="15" s="1"/>
  <c r="K128" i="5"/>
  <c r="M128" i="5" s="1"/>
  <c r="O128" i="5" s="1"/>
  <c r="H144" i="13"/>
  <c r="I121" i="14"/>
  <c r="I121" i="15"/>
  <c r="S128" i="5" l="1"/>
  <c r="Y128" i="5" s="1"/>
  <c r="Z128" i="5" s="1"/>
  <c r="F121" i="14"/>
  <c r="T128" i="5" l="1"/>
  <c r="J144" i="13" s="1"/>
  <c r="H128" i="5"/>
  <c r="L129" i="5"/>
  <c r="H121" i="15" l="1"/>
  <c r="H121" i="14"/>
  <c r="J128" i="5"/>
  <c r="AC129" i="5" s="1"/>
  <c r="AD129" i="5" s="1"/>
  <c r="K144" i="13"/>
  <c r="U128" i="5" l="1"/>
  <c r="I144" i="13" s="1"/>
  <c r="W128" i="5"/>
  <c r="AA128" i="5" s="1"/>
  <c r="E121" i="14" l="1"/>
  <c r="B129" i="5"/>
  <c r="H145" i="13" s="1"/>
  <c r="E121" i="15"/>
  <c r="B122" i="14" l="1"/>
  <c r="G122" i="14" s="1"/>
  <c r="P129" i="5"/>
  <c r="Q129" i="5" s="1"/>
  <c r="G129" i="5"/>
  <c r="B122" i="15"/>
  <c r="G122" i="15" s="1"/>
  <c r="X129" i="5"/>
  <c r="I122" i="15" s="1"/>
  <c r="V129" i="5"/>
  <c r="F122" i="14" s="1"/>
  <c r="K129" i="5"/>
  <c r="M129" i="5" s="1"/>
  <c r="O129" i="5" s="1"/>
  <c r="R129" i="5"/>
  <c r="I122" i="14" l="1"/>
  <c r="F122" i="15"/>
  <c r="S129" i="5"/>
  <c r="Y129" i="5" s="1"/>
  <c r="Z129" i="5" s="1"/>
  <c r="H129" i="5" s="1"/>
  <c r="L130" i="5" l="1"/>
  <c r="T129" i="5"/>
  <c r="H122" i="14" s="1"/>
  <c r="J129" i="5"/>
  <c r="K145" i="13"/>
  <c r="H122" i="15" l="1"/>
  <c r="J145" i="13"/>
  <c r="U129" i="5"/>
  <c r="I145" i="13" s="1"/>
  <c r="W129" i="5"/>
  <c r="AC130" i="5"/>
  <c r="AD130" i="5" s="1"/>
  <c r="O27" i="16" s="1"/>
  <c r="AA129" i="5" l="1"/>
  <c r="N27" i="16"/>
  <c r="B130" i="5"/>
  <c r="X130" i="5" s="1"/>
  <c r="L27" i="16" s="1"/>
  <c r="E122" i="14"/>
  <c r="E122" i="15"/>
  <c r="P130" i="5" l="1"/>
  <c r="Q130" i="5" s="1"/>
  <c r="R130" i="5"/>
  <c r="V130" i="5"/>
  <c r="J27" i="16" s="1"/>
  <c r="B123" i="15"/>
  <c r="G123" i="15" s="1"/>
  <c r="G130" i="5"/>
  <c r="K130" i="5"/>
  <c r="M130" i="5" s="1"/>
  <c r="H146" i="13"/>
  <c r="B27" i="16"/>
  <c r="B123" i="14"/>
  <c r="G123" i="14" s="1"/>
  <c r="I123" i="15"/>
  <c r="I123" i="14"/>
  <c r="D27" i="16" l="1"/>
  <c r="C27" i="16"/>
  <c r="F123" i="15"/>
  <c r="F123" i="14"/>
  <c r="O130" i="5"/>
  <c r="S130" i="5" s="1"/>
  <c r="T130" i="5" l="1"/>
  <c r="Y130" i="5"/>
  <c r="Z130" i="5" s="1"/>
  <c r="J146" i="13" l="1"/>
  <c r="K27" i="16"/>
  <c r="H130" i="5"/>
  <c r="K146" i="13" s="1"/>
  <c r="L131" i="5"/>
  <c r="H123" i="15"/>
  <c r="H123" i="14"/>
  <c r="J130" i="5" l="1"/>
  <c r="H27" i="16" s="1"/>
  <c r="W130" i="5" l="1"/>
  <c r="AC131" i="5"/>
  <c r="AD131" i="5" s="1"/>
  <c r="U130" i="5"/>
  <c r="I146" i="13" l="1"/>
  <c r="I27" i="16"/>
  <c r="E123" i="14"/>
  <c r="E123" i="15"/>
  <c r="B131" i="5"/>
  <c r="AA130" i="5"/>
  <c r="X131" i="5" l="1"/>
  <c r="I124" i="15" s="1"/>
  <c r="H147" i="13"/>
  <c r="K131" i="5"/>
  <c r="M131" i="5" s="1"/>
  <c r="O131" i="5" s="1"/>
  <c r="V131" i="5"/>
  <c r="B124" i="15"/>
  <c r="G124" i="15" s="1"/>
  <c r="G131" i="5"/>
  <c r="B124" i="14"/>
  <c r="G124" i="14" s="1"/>
  <c r="P131" i="5"/>
  <c r="Q131" i="5" s="1"/>
  <c r="R131" i="5"/>
  <c r="I124" i="14" l="1"/>
  <c r="S131" i="5"/>
  <c r="F124" i="15"/>
  <c r="F124" i="14"/>
  <c r="T131" i="5" l="1"/>
  <c r="J147" i="13" s="1"/>
  <c r="Y131" i="5"/>
  <c r="Z131" i="5" s="1"/>
  <c r="H131" i="5" l="1"/>
  <c r="L132" i="5"/>
  <c r="H124" i="14"/>
  <c r="H124" i="15"/>
  <c r="J131" i="5" l="1"/>
  <c r="AC132" i="5" s="1"/>
  <c r="AD132" i="5" s="1"/>
  <c r="K147" i="13"/>
  <c r="W131" i="5" l="1"/>
  <c r="AA131" i="5" s="1"/>
  <c r="U131" i="5"/>
  <c r="I147" i="13" s="1"/>
  <c r="B132" i="5" l="1"/>
  <c r="H148" i="13" s="1"/>
  <c r="H19" i="13" s="1"/>
  <c r="E124" i="15"/>
  <c r="E124" i="14"/>
  <c r="B125" i="15" l="1"/>
  <c r="G125" i="15" s="1"/>
  <c r="R132" i="5"/>
  <c r="K132" i="5"/>
  <c r="M132" i="5" s="1"/>
  <c r="O132" i="5" s="1"/>
  <c r="G132" i="5"/>
  <c r="V132" i="5"/>
  <c r="F125" i="15" s="1"/>
  <c r="P132" i="5"/>
  <c r="Q132" i="5" s="1"/>
  <c r="X132" i="5"/>
  <c r="I125" i="14" s="1"/>
  <c r="B125" i="14"/>
  <c r="G125" i="14" s="1"/>
  <c r="S132" i="5" l="1"/>
  <c r="Y132" i="5" s="1"/>
  <c r="Z132" i="5" s="1"/>
  <c r="F125" i="14"/>
  <c r="I125" i="15"/>
  <c r="T132" i="5" l="1"/>
  <c r="J148" i="13" s="1"/>
  <c r="J19" i="13" s="1"/>
  <c r="H132" i="5"/>
  <c r="L133" i="5"/>
  <c r="H125" i="15" l="1"/>
  <c r="H125" i="14"/>
  <c r="J132" i="5"/>
  <c r="AC133" i="5" s="1"/>
  <c r="AD133" i="5" s="1"/>
  <c r="K148" i="13"/>
  <c r="W132" i="5" l="1"/>
  <c r="AA132" i="5" s="1"/>
  <c r="U132" i="5"/>
  <c r="I148" i="13" s="1"/>
  <c r="I19" i="13" s="1"/>
  <c r="E125" i="14" l="1"/>
  <c r="E125" i="15"/>
  <c r="B133" i="5"/>
  <c r="H149" i="13" s="1"/>
  <c r="B126" i="15" l="1"/>
  <c r="G126" i="15" s="1"/>
  <c r="B126" i="14"/>
  <c r="G126" i="14" s="1"/>
  <c r="X133" i="5"/>
  <c r="I126" i="15" s="1"/>
  <c r="P133" i="5"/>
  <c r="Q133" i="5" s="1"/>
  <c r="R133" i="5"/>
  <c r="G133" i="5"/>
  <c r="V133" i="5"/>
  <c r="F126" i="14" s="1"/>
  <c r="K133" i="5"/>
  <c r="M133" i="5" s="1"/>
  <c r="O133" i="5" s="1"/>
  <c r="I126" i="14" l="1"/>
  <c r="S133" i="5"/>
  <c r="Y133" i="5" s="1"/>
  <c r="Z133" i="5" s="1"/>
  <c r="F126" i="15"/>
  <c r="T133" i="5" l="1"/>
  <c r="J149" i="13" s="1"/>
  <c r="H133" i="5"/>
  <c r="L134" i="5"/>
  <c r="H126" i="14" l="1"/>
  <c r="H126" i="15"/>
  <c r="J133" i="5"/>
  <c r="U133" i="5" s="1"/>
  <c r="I149" i="13" s="1"/>
  <c r="K149" i="13"/>
  <c r="AC134" i="5" l="1"/>
  <c r="AD134" i="5" s="1"/>
  <c r="W133" i="5"/>
  <c r="AA133" i="5" s="1"/>
  <c r="E126" i="15"/>
  <c r="E126" i="14"/>
  <c r="B134" i="5"/>
  <c r="H150" i="13" s="1"/>
  <c r="K134" i="5" l="1"/>
  <c r="M134" i="5" s="1"/>
  <c r="O134" i="5" s="1"/>
  <c r="R134" i="5"/>
  <c r="B127" i="14"/>
  <c r="G127" i="14" s="1"/>
  <c r="V134" i="5"/>
  <c r="P134" i="5"/>
  <c r="Q134" i="5" s="1"/>
  <c r="G134" i="5"/>
  <c r="B127" i="15"/>
  <c r="G127" i="15" s="1"/>
  <c r="X134" i="5"/>
  <c r="F127" i="15" l="1"/>
  <c r="F127" i="14"/>
  <c r="I127" i="15"/>
  <c r="I127" i="14"/>
  <c r="S134" i="5"/>
  <c r="Y134" i="5" l="1"/>
  <c r="Z134" i="5" s="1"/>
  <c r="T134" i="5"/>
  <c r="J150" i="13" s="1"/>
  <c r="H127" i="14" l="1"/>
  <c r="H127" i="15"/>
  <c r="H134" i="5"/>
  <c r="L135" i="5"/>
  <c r="J134" i="5" l="1"/>
  <c r="U134" i="5" s="1"/>
  <c r="I150" i="13" s="1"/>
  <c r="K150" i="13"/>
  <c r="W134" i="5" l="1"/>
  <c r="AA134" i="5" s="1"/>
  <c r="AC135" i="5"/>
  <c r="AD135" i="5" s="1"/>
  <c r="E127" i="15"/>
  <c r="E127" i="14"/>
  <c r="B135" i="5"/>
  <c r="H151" i="13" s="1"/>
  <c r="V135" i="5" l="1"/>
  <c r="G135" i="5"/>
  <c r="P135" i="5"/>
  <c r="Q135" i="5" s="1"/>
  <c r="B128" i="14"/>
  <c r="G128" i="14" s="1"/>
  <c r="K135" i="5"/>
  <c r="M135" i="5" s="1"/>
  <c r="O135" i="5" s="1"/>
  <c r="R135" i="5"/>
  <c r="B128" i="15"/>
  <c r="G128" i="15" s="1"/>
  <c r="X135" i="5"/>
  <c r="S135" i="5" l="1"/>
  <c r="Y135" i="5" s="1"/>
  <c r="Z135" i="5" s="1"/>
  <c r="I128" i="14"/>
  <c r="I128" i="15"/>
  <c r="F128" i="15"/>
  <c r="F128" i="14"/>
  <c r="T135" i="5" l="1"/>
  <c r="H135" i="5"/>
  <c r="L136" i="5"/>
  <c r="J135" i="5" l="1"/>
  <c r="U135" i="5" s="1"/>
  <c r="I151" i="13" s="1"/>
  <c r="K151" i="13"/>
  <c r="H128" i="14"/>
  <c r="J151" i="13"/>
  <c r="H128" i="15"/>
  <c r="W135" i="5" l="1"/>
  <c r="AA135" i="5" s="1"/>
  <c r="AC136" i="5"/>
  <c r="AD136" i="5" s="1"/>
  <c r="E128" i="15"/>
  <c r="E128" i="14"/>
  <c r="B136" i="5"/>
  <c r="H152" i="13" s="1"/>
  <c r="R136" i="5" l="1"/>
  <c r="G136" i="5"/>
  <c r="V136" i="5"/>
  <c r="K136" i="5"/>
  <c r="M136" i="5" s="1"/>
  <c r="O136" i="5" s="1"/>
  <c r="P136" i="5"/>
  <c r="Q136" i="5" s="1"/>
  <c r="B129" i="14"/>
  <c r="G129" i="14" s="1"/>
  <c r="B129" i="15"/>
  <c r="G129" i="15" s="1"/>
  <c r="X136" i="5"/>
  <c r="S136" i="5" l="1"/>
  <c r="Y136" i="5" s="1"/>
  <c r="Z136" i="5" s="1"/>
  <c r="F129" i="14"/>
  <c r="F129" i="15"/>
  <c r="I129" i="15"/>
  <c r="I129" i="14"/>
  <c r="T136" i="5" l="1"/>
  <c r="H136" i="5"/>
  <c r="L137" i="5"/>
  <c r="J136" i="5" l="1"/>
  <c r="AC137" i="5" s="1"/>
  <c r="AD137" i="5" s="1"/>
  <c r="O28" i="16" s="1"/>
  <c r="K152" i="13"/>
  <c r="H129" i="14"/>
  <c r="J152" i="13"/>
  <c r="H129" i="15"/>
  <c r="U136" i="5" l="1"/>
  <c r="I152" i="13" s="1"/>
  <c r="W136" i="5"/>
  <c r="AA136" i="5" l="1"/>
  <c r="N28" i="16"/>
  <c r="B137" i="5"/>
  <c r="E129" i="14"/>
  <c r="E129" i="15"/>
  <c r="H153" i="13" l="1"/>
  <c r="B28" i="16"/>
  <c r="G137" i="5"/>
  <c r="V137" i="5"/>
  <c r="R137" i="5"/>
  <c r="P137" i="5"/>
  <c r="Q137" i="5" s="1"/>
  <c r="X137" i="5"/>
  <c r="L28" i="16" s="1"/>
  <c r="K137" i="5"/>
  <c r="M137" i="5" s="1"/>
  <c r="B130" i="14"/>
  <c r="G130" i="14" s="1"/>
  <c r="B130" i="15"/>
  <c r="G130" i="15" s="1"/>
  <c r="C28" i="16" l="1"/>
  <c r="D28" i="16"/>
  <c r="F130" i="14"/>
  <c r="J28" i="16"/>
  <c r="I130" i="15"/>
  <c r="I130" i="14"/>
  <c r="F130" i="15"/>
  <c r="O137" i="5"/>
  <c r="S137" i="5" s="1"/>
  <c r="T137" i="5" l="1"/>
  <c r="Y137" i="5"/>
  <c r="Z137" i="5" s="1"/>
  <c r="J153" i="13" l="1"/>
  <c r="K28" i="16"/>
  <c r="H130" i="15"/>
  <c r="H130" i="14"/>
  <c r="H137" i="5"/>
  <c r="K153" i="13" s="1"/>
  <c r="L138" i="5"/>
  <c r="J137" i="5" l="1"/>
  <c r="H28" i="16" s="1"/>
  <c r="AC138" i="5" l="1"/>
  <c r="AD138" i="5" s="1"/>
  <c r="U137" i="5"/>
  <c r="W137" i="5"/>
  <c r="I153" i="13" l="1"/>
  <c r="I28" i="16"/>
  <c r="E130" i="14"/>
  <c r="E130" i="15"/>
  <c r="B138" i="5"/>
  <c r="AA137" i="5"/>
  <c r="X138" i="5" l="1"/>
  <c r="I131" i="15" s="1"/>
  <c r="H154" i="13"/>
  <c r="V138" i="5"/>
  <c r="K138" i="5"/>
  <c r="M138" i="5" s="1"/>
  <c r="O138" i="5" s="1"/>
  <c r="G138" i="5"/>
  <c r="P138" i="5"/>
  <c r="Q138" i="5" s="1"/>
  <c r="B131" i="15"/>
  <c r="G131" i="15" s="1"/>
  <c r="R138" i="5"/>
  <c r="B131" i="14"/>
  <c r="G131" i="14" s="1"/>
  <c r="I131" i="14" l="1"/>
  <c r="S138" i="5"/>
  <c r="F131" i="14"/>
  <c r="F131" i="15"/>
  <c r="T138" i="5" l="1"/>
  <c r="J154" i="13" s="1"/>
  <c r="Y138" i="5"/>
  <c r="Z138" i="5" s="1"/>
  <c r="H138" i="5" l="1"/>
  <c r="L139" i="5"/>
  <c r="H131" i="14"/>
  <c r="H131" i="15"/>
  <c r="J138" i="5" l="1"/>
  <c r="W138" i="5" s="1"/>
  <c r="K154" i="13"/>
  <c r="AC139" i="5" l="1"/>
  <c r="AD139" i="5" s="1"/>
  <c r="U138" i="5"/>
  <c r="I154" i="13" s="1"/>
  <c r="AA138" i="5"/>
  <c r="B139" i="5" l="1"/>
  <c r="H155" i="13" s="1"/>
  <c r="E131" i="14"/>
  <c r="E131" i="15"/>
  <c r="B132" i="15" l="1"/>
  <c r="G132" i="15" s="1"/>
  <c r="R139" i="5"/>
  <c r="B132" i="14"/>
  <c r="G132" i="14" s="1"/>
  <c r="G139" i="5"/>
  <c r="P139" i="5"/>
  <c r="Q139" i="5" s="1"/>
  <c r="K139" i="5"/>
  <c r="M139" i="5" s="1"/>
  <c r="O139" i="5" s="1"/>
  <c r="V139" i="5"/>
  <c r="F132" i="14" s="1"/>
  <c r="X139" i="5"/>
  <c r="I132" i="14" s="1"/>
  <c r="F132" i="15" l="1"/>
  <c r="S139" i="5"/>
  <c r="Y139" i="5" s="1"/>
  <c r="Z139" i="5" s="1"/>
  <c r="I132" i="15"/>
  <c r="T139" i="5" l="1"/>
  <c r="J155" i="13" s="1"/>
  <c r="H139" i="5"/>
  <c r="L140" i="5"/>
  <c r="H132" i="15" l="1"/>
  <c r="H132" i="14"/>
  <c r="J139" i="5"/>
  <c r="U139" i="5" s="1"/>
  <c r="I155" i="13" s="1"/>
  <c r="K155" i="13"/>
  <c r="W139" i="5" l="1"/>
  <c r="AA139" i="5" s="1"/>
  <c r="AC140" i="5"/>
  <c r="AD140" i="5" s="1"/>
  <c r="E132" i="15"/>
  <c r="E132" i="14"/>
  <c r="B140" i="5"/>
  <c r="H156" i="13" s="1"/>
  <c r="G140" i="5" l="1"/>
  <c r="K140" i="5"/>
  <c r="M140" i="5" s="1"/>
  <c r="O140" i="5" s="1"/>
  <c r="B133" i="15"/>
  <c r="G133" i="15" s="1"/>
  <c r="P140" i="5"/>
  <c r="Q140" i="5" s="1"/>
  <c r="V140" i="5"/>
  <c r="R140" i="5"/>
  <c r="B133" i="14"/>
  <c r="G133" i="14" s="1"/>
  <c r="X140" i="5"/>
  <c r="F133" i="14" l="1"/>
  <c r="F133" i="15"/>
  <c r="S140" i="5"/>
  <c r="I133" i="14"/>
  <c r="I133" i="15"/>
  <c r="Y140" i="5" l="1"/>
  <c r="Z140" i="5" s="1"/>
  <c r="T140" i="5"/>
  <c r="J156" i="13" s="1"/>
  <c r="H133" i="14" l="1"/>
  <c r="H133" i="15"/>
  <c r="H140" i="5"/>
  <c r="L141" i="5"/>
  <c r="J140" i="5" l="1"/>
  <c r="U140" i="5" s="1"/>
  <c r="I156" i="13" s="1"/>
  <c r="K156" i="13"/>
  <c r="AC141" i="5" l="1"/>
  <c r="AD141" i="5" s="1"/>
  <c r="W140" i="5"/>
  <c r="AA140" i="5" s="1"/>
  <c r="E133" i="15"/>
  <c r="E133" i="14"/>
  <c r="B141" i="5"/>
  <c r="X141" i="5" l="1"/>
  <c r="I134" i="15" s="1"/>
  <c r="H157" i="13"/>
  <c r="B134" i="14"/>
  <c r="G134" i="14" s="1"/>
  <c r="B134" i="15"/>
  <c r="G134" i="15" s="1"/>
  <c r="R141" i="5"/>
  <c r="V141" i="5"/>
  <c r="K141" i="5"/>
  <c r="M141" i="5" s="1"/>
  <c r="O141" i="5" s="1"/>
  <c r="G141" i="5"/>
  <c r="P141" i="5"/>
  <c r="Q141" i="5" s="1"/>
  <c r="I134" i="14" l="1"/>
  <c r="S141" i="5"/>
  <c r="T141" i="5" s="1"/>
  <c r="J157" i="13" s="1"/>
  <c r="F134" i="15"/>
  <c r="F134" i="14"/>
  <c r="Y141" i="5" l="1"/>
  <c r="Z141" i="5" s="1"/>
  <c r="H141" i="5" s="1"/>
  <c r="H134" i="15"/>
  <c r="H134" i="14"/>
  <c r="J141" i="5" l="1"/>
  <c r="U141" i="5" s="1"/>
  <c r="I157" i="13" s="1"/>
  <c r="K157" i="13"/>
  <c r="L142" i="5"/>
  <c r="W141" i="5" l="1"/>
  <c r="AA141" i="5" s="1"/>
  <c r="AC142" i="5"/>
  <c r="AD142" i="5" s="1"/>
  <c r="E134" i="15"/>
  <c r="E134" i="14"/>
  <c r="B142" i="5"/>
  <c r="H158" i="13" s="1"/>
  <c r="V142" i="5" l="1"/>
  <c r="R142" i="5"/>
  <c r="P142" i="5"/>
  <c r="Q142" i="5" s="1"/>
  <c r="K142" i="5"/>
  <c r="M142" i="5" s="1"/>
  <c r="O142" i="5" s="1"/>
  <c r="B135" i="15"/>
  <c r="G135" i="15" s="1"/>
  <c r="B135" i="14"/>
  <c r="G135" i="14" s="1"/>
  <c r="G142" i="5"/>
  <c r="X142" i="5"/>
  <c r="S142" i="5" l="1"/>
  <c r="Y142" i="5" s="1"/>
  <c r="Z142" i="5" s="1"/>
  <c r="I135" i="14"/>
  <c r="I135" i="15"/>
  <c r="F135" i="14"/>
  <c r="F135" i="15"/>
  <c r="T142" i="5" l="1"/>
  <c r="H142" i="5"/>
  <c r="L143" i="5"/>
  <c r="J142" i="5" l="1"/>
  <c r="AC143" i="5" s="1"/>
  <c r="AD143" i="5" s="1"/>
  <c r="K158" i="13"/>
  <c r="H135" i="15"/>
  <c r="J158" i="13"/>
  <c r="H135" i="14"/>
  <c r="W142" i="5" l="1"/>
  <c r="AA142" i="5" s="1"/>
  <c r="U142" i="5"/>
  <c r="I158" i="13" l="1"/>
  <c r="B143" i="5"/>
  <c r="R143" i="5" s="1"/>
  <c r="E135" i="14"/>
  <c r="E135" i="15"/>
  <c r="B136" i="14" l="1"/>
  <c r="G136" i="14" s="1"/>
  <c r="P143" i="5"/>
  <c r="Q143" i="5" s="1"/>
  <c r="H159" i="13"/>
  <c r="X143" i="5"/>
  <c r="I136" i="15" s="1"/>
  <c r="K143" i="5"/>
  <c r="M143" i="5" s="1"/>
  <c r="O143" i="5" s="1"/>
  <c r="B136" i="15"/>
  <c r="G136" i="15" s="1"/>
  <c r="V143" i="5"/>
  <c r="F136" i="14" s="1"/>
  <c r="G143" i="5"/>
  <c r="S143" i="5" l="1"/>
  <c r="Y143" i="5" s="1"/>
  <c r="Z143" i="5" s="1"/>
  <c r="I136" i="14"/>
  <c r="F136" i="15"/>
  <c r="T143" i="5" l="1"/>
  <c r="J159" i="13" s="1"/>
  <c r="H143" i="5"/>
  <c r="L144" i="5"/>
  <c r="H136" i="14" l="1"/>
  <c r="H136" i="15"/>
  <c r="J143" i="5"/>
  <c r="AC144" i="5" s="1"/>
  <c r="AD144" i="5" s="1"/>
  <c r="O29" i="16" s="1"/>
  <c r="K159" i="13"/>
  <c r="W143" i="5" l="1"/>
  <c r="N29" i="16" s="1"/>
  <c r="U143" i="5"/>
  <c r="I159" i="13" s="1"/>
  <c r="B144" i="5" l="1"/>
  <c r="E136" i="14"/>
  <c r="AA143" i="5"/>
  <c r="E136" i="15"/>
  <c r="K144" i="5" l="1"/>
  <c r="M144" i="5" s="1"/>
  <c r="B29" i="16"/>
  <c r="G144" i="5"/>
  <c r="B137" i="15"/>
  <c r="G137" i="15" s="1"/>
  <c r="H160" i="13"/>
  <c r="X144" i="5"/>
  <c r="B137" i="14"/>
  <c r="G137" i="14" s="1"/>
  <c r="P144" i="5"/>
  <c r="Q144" i="5" s="1"/>
  <c r="R144" i="5"/>
  <c r="V144" i="5"/>
  <c r="C29" i="16" l="1"/>
  <c r="D29" i="16"/>
  <c r="I137" i="15"/>
  <c r="L29" i="16"/>
  <c r="F137" i="15"/>
  <c r="J29" i="16"/>
  <c r="F137" i="14"/>
  <c r="I137" i="14"/>
  <c r="O144" i="5"/>
  <c r="S144" i="5" s="1"/>
  <c r="T144" i="5" l="1"/>
  <c r="Y144" i="5"/>
  <c r="Z144" i="5" s="1"/>
  <c r="J160" i="13" l="1"/>
  <c r="K29" i="16"/>
  <c r="H144" i="5"/>
  <c r="K160" i="13" s="1"/>
  <c r="L145" i="5"/>
  <c r="H137" i="15"/>
  <c r="H137" i="14"/>
  <c r="J144" i="5" l="1"/>
  <c r="H29" i="16" s="1"/>
  <c r="U144" i="5" l="1"/>
  <c r="AC145" i="5"/>
  <c r="AD145" i="5" s="1"/>
  <c r="W144" i="5"/>
  <c r="I160" i="13" l="1"/>
  <c r="I29" i="16"/>
  <c r="AA144" i="5"/>
  <c r="E137" i="14"/>
  <c r="E137" i="15"/>
  <c r="B145" i="5"/>
  <c r="H161" i="13" s="1"/>
  <c r="B138" i="14" l="1"/>
  <c r="G138" i="14" s="1"/>
  <c r="V145" i="5"/>
  <c r="B138" i="15"/>
  <c r="G138" i="15" s="1"/>
  <c r="P145" i="5"/>
  <c r="Q145" i="5" s="1"/>
  <c r="K145" i="5"/>
  <c r="M145" i="5" s="1"/>
  <c r="O145" i="5" s="1"/>
  <c r="R145" i="5"/>
  <c r="G145" i="5"/>
  <c r="X145" i="5"/>
  <c r="S145" i="5" l="1"/>
  <c r="Y145" i="5" s="1"/>
  <c r="Z145" i="5" s="1"/>
  <c r="F138" i="14"/>
  <c r="F138" i="15"/>
  <c r="I138" i="14"/>
  <c r="I138" i="15"/>
  <c r="T145" i="5" l="1"/>
  <c r="H145" i="5"/>
  <c r="L146" i="5"/>
  <c r="J145" i="5" l="1"/>
  <c r="U145" i="5" s="1"/>
  <c r="I161" i="13" s="1"/>
  <c r="K161" i="13"/>
  <c r="H138" i="15"/>
  <c r="J161" i="13"/>
  <c r="H138" i="14"/>
  <c r="AC146" i="5" l="1"/>
  <c r="AD146" i="5" s="1"/>
  <c r="W145" i="5"/>
  <c r="AA145" i="5" s="1"/>
  <c r="E138" i="15"/>
  <c r="E138" i="14"/>
  <c r="B146" i="5"/>
  <c r="H162" i="13" s="1"/>
  <c r="K146" i="5" l="1"/>
  <c r="M146" i="5" s="1"/>
  <c r="O146" i="5" s="1"/>
  <c r="R146" i="5"/>
  <c r="G146" i="5"/>
  <c r="P146" i="5"/>
  <c r="Q146" i="5" s="1"/>
  <c r="V146" i="5"/>
  <c r="B139" i="15"/>
  <c r="G139" i="15" s="1"/>
  <c r="B139" i="14"/>
  <c r="G139" i="14" s="1"/>
  <c r="X146" i="5"/>
  <c r="F139" i="14" l="1"/>
  <c r="F139" i="15"/>
  <c r="I139" i="14"/>
  <c r="I139" i="15"/>
  <c r="S146" i="5"/>
  <c r="Y146" i="5" l="1"/>
  <c r="Z146" i="5" s="1"/>
  <c r="T146" i="5"/>
  <c r="J162" i="13" s="1"/>
  <c r="H139" i="15" l="1"/>
  <c r="H139" i="14"/>
  <c r="H146" i="5"/>
  <c r="L147" i="5"/>
  <c r="J146" i="5" l="1"/>
  <c r="U146" i="5" s="1"/>
  <c r="I162" i="13" s="1"/>
  <c r="K162" i="13"/>
  <c r="W146" i="5" l="1"/>
  <c r="AA146" i="5" s="1"/>
  <c r="AC147" i="5"/>
  <c r="AD147" i="5" s="1"/>
  <c r="E139" i="15"/>
  <c r="E139" i="14"/>
  <c r="B147" i="5"/>
  <c r="H163" i="13" s="1"/>
  <c r="X147" i="5" l="1"/>
  <c r="V147" i="5"/>
  <c r="B140" i="14"/>
  <c r="G140" i="14" s="1"/>
  <c r="B140" i="15"/>
  <c r="G140" i="15" s="1"/>
  <c r="R147" i="5"/>
  <c r="G147" i="5"/>
  <c r="K147" i="5"/>
  <c r="M147" i="5" s="1"/>
  <c r="O147" i="5" s="1"/>
  <c r="P147" i="5"/>
  <c r="Q147" i="5" s="1"/>
  <c r="F140" i="14" l="1"/>
  <c r="F140" i="15"/>
  <c r="S147" i="5"/>
  <c r="I140" i="14"/>
  <c r="I140" i="15"/>
  <c r="Y147" i="5" l="1"/>
  <c r="Z147" i="5" s="1"/>
  <c r="T147" i="5"/>
  <c r="J163" i="13" s="1"/>
  <c r="H140" i="14" l="1"/>
  <c r="H140" i="15"/>
  <c r="H147" i="5"/>
  <c r="L148" i="5"/>
  <c r="J147" i="5" l="1"/>
  <c r="W147" i="5" s="1"/>
  <c r="K163" i="13"/>
  <c r="AC148" i="5" l="1"/>
  <c r="AD148" i="5" s="1"/>
  <c r="U147" i="5"/>
  <c r="I163" i="13" s="1"/>
  <c r="AA147" i="5"/>
  <c r="E140" i="15" l="1"/>
  <c r="E140" i="14"/>
  <c r="B148" i="5"/>
  <c r="X148" i="5" s="1"/>
  <c r="B141" i="15" l="1"/>
  <c r="G141" i="15" s="1"/>
  <c r="B141" i="14"/>
  <c r="G141" i="14" s="1"/>
  <c r="V148" i="5"/>
  <c r="F141" i="15" s="1"/>
  <c r="R148" i="5"/>
  <c r="G148" i="5"/>
  <c r="P148" i="5"/>
  <c r="Q148" i="5" s="1"/>
  <c r="K148" i="5"/>
  <c r="M148" i="5" s="1"/>
  <c r="O148" i="5" s="1"/>
  <c r="H164" i="13"/>
  <c r="I141" i="15"/>
  <c r="I141" i="14"/>
  <c r="F141" i="14" l="1"/>
  <c r="S148" i="5"/>
  <c r="Y148" i="5" s="1"/>
  <c r="Z148" i="5" s="1"/>
  <c r="T148" i="5" l="1"/>
  <c r="J164" i="13" s="1"/>
  <c r="H148" i="5"/>
  <c r="L149" i="5"/>
  <c r="H141" i="15" l="1"/>
  <c r="H141" i="14"/>
  <c r="J148" i="5"/>
  <c r="U148" i="5" s="1"/>
  <c r="I164" i="13" s="1"/>
  <c r="K164" i="13"/>
  <c r="W148" i="5" l="1"/>
  <c r="AA148" i="5" s="1"/>
  <c r="AC149" i="5"/>
  <c r="AD149" i="5" s="1"/>
  <c r="E141" i="15"/>
  <c r="E141" i="14"/>
  <c r="B149" i="5"/>
  <c r="H165" i="13" s="1"/>
  <c r="G149" i="5" l="1"/>
  <c r="B142" i="15"/>
  <c r="G142" i="15" s="1"/>
  <c r="B142" i="14"/>
  <c r="G142" i="14" s="1"/>
  <c r="V149" i="5"/>
  <c r="K149" i="5"/>
  <c r="M149" i="5" s="1"/>
  <c r="O149" i="5" s="1"/>
  <c r="R149" i="5"/>
  <c r="P149" i="5"/>
  <c r="Q149" i="5" s="1"/>
  <c r="X149" i="5"/>
  <c r="S149" i="5" l="1"/>
  <c r="Y149" i="5" s="1"/>
  <c r="Z149" i="5" s="1"/>
  <c r="F142" i="14"/>
  <c r="F142" i="15"/>
  <c r="I142" i="14"/>
  <c r="I142" i="15"/>
  <c r="T149" i="5" l="1"/>
  <c r="H149" i="5"/>
  <c r="L150" i="5"/>
  <c r="J149" i="5" l="1"/>
  <c r="AC150" i="5" s="1"/>
  <c r="AD150" i="5" s="1"/>
  <c r="K165" i="13"/>
  <c r="H142" i="15"/>
  <c r="J165" i="13"/>
  <c r="H142" i="14"/>
  <c r="W149" i="5" l="1"/>
  <c r="AA149" i="5" s="1"/>
  <c r="U149" i="5"/>
  <c r="I165" i="13" s="1"/>
  <c r="B150" i="5" l="1"/>
  <c r="H166" i="13" s="1"/>
  <c r="E142" i="14"/>
  <c r="E142" i="15"/>
  <c r="B143" i="15" l="1"/>
  <c r="G143" i="15" s="1"/>
  <c r="B143" i="14"/>
  <c r="G143" i="14" s="1"/>
  <c r="G150" i="5"/>
  <c r="P150" i="5"/>
  <c r="Q150" i="5" s="1"/>
  <c r="K150" i="5"/>
  <c r="M150" i="5" s="1"/>
  <c r="O150" i="5" s="1"/>
  <c r="R150" i="5"/>
  <c r="X150" i="5"/>
  <c r="I143" i="14" s="1"/>
  <c r="V150" i="5"/>
  <c r="F143" i="14" s="1"/>
  <c r="F143" i="15" l="1"/>
  <c r="S150" i="5"/>
  <c r="Y150" i="5" s="1"/>
  <c r="Z150" i="5" s="1"/>
  <c r="I143" i="15"/>
  <c r="T150" i="5" l="1"/>
  <c r="J166" i="13" s="1"/>
  <c r="H150" i="5"/>
  <c r="L151" i="5"/>
  <c r="H143" i="14" l="1"/>
  <c r="H143" i="15"/>
  <c r="J150" i="5"/>
  <c r="AC151" i="5" s="1"/>
  <c r="AD151" i="5" s="1"/>
  <c r="O30" i="16" s="1"/>
  <c r="K166" i="13"/>
  <c r="W150" i="5" l="1"/>
  <c r="U150" i="5"/>
  <c r="I166" i="13" s="1"/>
  <c r="AA150" i="5" l="1"/>
  <c r="N30" i="16"/>
  <c r="B151" i="5"/>
  <c r="E143" i="14"/>
  <c r="E143" i="15"/>
  <c r="H167" i="13" l="1"/>
  <c r="B30" i="16"/>
  <c r="R151" i="5"/>
  <c r="P151" i="5"/>
  <c r="Q151" i="5" s="1"/>
  <c r="V151" i="5"/>
  <c r="X151" i="5"/>
  <c r="K151" i="5"/>
  <c r="B144" i="14"/>
  <c r="G144" i="14" s="1"/>
  <c r="G151" i="5"/>
  <c r="B144" i="15"/>
  <c r="G144" i="15" s="1"/>
  <c r="C30" i="16" l="1"/>
  <c r="D30" i="16"/>
  <c r="I144" i="14"/>
  <c r="L30" i="16"/>
  <c r="F144" i="15"/>
  <c r="J30" i="16"/>
  <c r="F144" i="14"/>
  <c r="M151" i="5"/>
  <c r="I144" i="15"/>
  <c r="O151" i="5" l="1"/>
  <c r="S151" i="5" s="1"/>
  <c r="Y151" i="5" s="1"/>
  <c r="Z151" i="5" s="1"/>
  <c r="T151" i="5" l="1"/>
  <c r="H151" i="5"/>
  <c r="K167" i="13" s="1"/>
  <c r="L152" i="5"/>
  <c r="J167" i="13" l="1"/>
  <c r="K30" i="16"/>
  <c r="H144" i="14"/>
  <c r="H144" i="15"/>
  <c r="J151" i="5"/>
  <c r="H30" i="16" s="1"/>
  <c r="U151" i="5" l="1"/>
  <c r="AC152" i="5"/>
  <c r="AD152" i="5" s="1"/>
  <c r="W151" i="5"/>
  <c r="I167" i="13" l="1"/>
  <c r="I30" i="16"/>
  <c r="AA151" i="5"/>
  <c r="E144" i="15"/>
  <c r="E144" i="14"/>
  <c r="B152" i="5"/>
  <c r="H168" i="13" s="1"/>
  <c r="V152" i="5" l="1"/>
  <c r="P152" i="5"/>
  <c r="Q152" i="5" s="1"/>
  <c r="R152" i="5"/>
  <c r="K152" i="5"/>
  <c r="M152" i="5" s="1"/>
  <c r="O152" i="5" s="1"/>
  <c r="B145" i="14"/>
  <c r="G145" i="14" s="1"/>
  <c r="B145" i="15"/>
  <c r="G145" i="15" s="1"/>
  <c r="G152" i="5"/>
  <c r="X152" i="5"/>
  <c r="S152" i="5" l="1"/>
  <c r="T152" i="5" s="1"/>
  <c r="J168" i="13" s="1"/>
  <c r="I145" i="14"/>
  <c r="I145" i="15"/>
  <c r="F145" i="15"/>
  <c r="F145" i="14"/>
  <c r="Y152" i="5" l="1"/>
  <c r="Z152" i="5" s="1"/>
  <c r="H152" i="5" s="1"/>
  <c r="H145" i="14"/>
  <c r="H145" i="15"/>
  <c r="J152" i="5" l="1"/>
  <c r="U152" i="5" s="1"/>
  <c r="I168" i="13" s="1"/>
  <c r="K168" i="13"/>
  <c r="L153" i="5"/>
  <c r="W152" i="5" l="1"/>
  <c r="AA152" i="5" s="1"/>
  <c r="AC153" i="5"/>
  <c r="AD153" i="5" s="1"/>
  <c r="E145" i="15"/>
  <c r="E145" i="14"/>
  <c r="B153" i="5"/>
  <c r="H169" i="13" s="1"/>
  <c r="X153" i="5" l="1"/>
  <c r="P153" i="5"/>
  <c r="Q153" i="5" s="1"/>
  <c r="B146" i="15"/>
  <c r="G146" i="15" s="1"/>
  <c r="G153" i="5"/>
  <c r="R153" i="5"/>
  <c r="K153" i="5"/>
  <c r="M153" i="5" s="1"/>
  <c r="O153" i="5" s="1"/>
  <c r="V153" i="5"/>
  <c r="B146" i="14"/>
  <c r="G146" i="14" s="1"/>
  <c r="F146" i="14" l="1"/>
  <c r="F146" i="15"/>
  <c r="S153" i="5"/>
  <c r="I146" i="14"/>
  <c r="I146" i="15"/>
  <c r="T153" i="5" l="1"/>
  <c r="J169" i="13" s="1"/>
  <c r="Y153" i="5"/>
  <c r="Z153" i="5" s="1"/>
  <c r="H153" i="5" l="1"/>
  <c r="L154" i="5"/>
  <c r="H146" i="14"/>
  <c r="H146" i="15"/>
  <c r="J153" i="5" l="1"/>
  <c r="AC154" i="5" s="1"/>
  <c r="AD154" i="5" s="1"/>
  <c r="K169" i="13"/>
  <c r="W153" i="5" l="1"/>
  <c r="AA153" i="5" s="1"/>
  <c r="U153" i="5"/>
  <c r="I169" i="13" s="1"/>
  <c r="B154" i="5" l="1"/>
  <c r="H170" i="13" s="1"/>
  <c r="E146" i="15"/>
  <c r="E146" i="14"/>
  <c r="B147" i="15" l="1"/>
  <c r="G147" i="15" s="1"/>
  <c r="G154" i="5"/>
  <c r="R154" i="5"/>
  <c r="P154" i="5"/>
  <c r="Q154" i="5" s="1"/>
  <c r="K154" i="5"/>
  <c r="M154" i="5" s="1"/>
  <c r="O154" i="5" s="1"/>
  <c r="X154" i="5"/>
  <c r="I147" i="15" s="1"/>
  <c r="V154" i="5"/>
  <c r="F147" i="14" s="1"/>
  <c r="B147" i="14"/>
  <c r="G147" i="14" s="1"/>
  <c r="S154" i="5" l="1"/>
  <c r="Y154" i="5" s="1"/>
  <c r="Z154" i="5" s="1"/>
  <c r="L155" i="5" s="1"/>
  <c r="I147" i="14"/>
  <c r="F147" i="15"/>
  <c r="H154" i="5" l="1"/>
  <c r="J154" i="5" s="1"/>
  <c r="AC155" i="5" s="1"/>
  <c r="AD155" i="5" s="1"/>
  <c r="T154" i="5"/>
  <c r="J170" i="13" s="1"/>
  <c r="H147" i="15" l="1"/>
  <c r="H147" i="14"/>
  <c r="K170" i="13"/>
  <c r="W154" i="5"/>
  <c r="AA154" i="5" s="1"/>
  <c r="U154" i="5"/>
  <c r="I170" i="13" s="1"/>
  <c r="B155" i="5" l="1"/>
  <c r="H171" i="13" s="1"/>
  <c r="E147" i="14"/>
  <c r="E147" i="15"/>
  <c r="B148" i="15" l="1"/>
  <c r="G148" i="15" s="1"/>
  <c r="P155" i="5"/>
  <c r="Q155" i="5" s="1"/>
  <c r="K155" i="5"/>
  <c r="M155" i="5" s="1"/>
  <c r="O155" i="5" s="1"/>
  <c r="G155" i="5"/>
  <c r="V155" i="5"/>
  <c r="F148" i="15" s="1"/>
  <c r="R155" i="5"/>
  <c r="X155" i="5"/>
  <c r="I148" i="15" s="1"/>
  <c r="B148" i="14"/>
  <c r="G148" i="14" s="1"/>
  <c r="I148" i="14" l="1"/>
  <c r="F148" i="14"/>
  <c r="S155" i="5"/>
  <c r="T155" i="5" s="1"/>
  <c r="J171" i="13" s="1"/>
  <c r="Y155" i="5" l="1"/>
  <c r="Z155" i="5" s="1"/>
  <c r="L156" i="5" s="1"/>
  <c r="H148" i="14"/>
  <c r="H148" i="15"/>
  <c r="H155" i="5" l="1"/>
  <c r="J155" i="5" s="1"/>
  <c r="U155" i="5" s="1"/>
  <c r="I171" i="13" s="1"/>
  <c r="K171" i="13" l="1"/>
  <c r="W155" i="5"/>
  <c r="AA155" i="5" s="1"/>
  <c r="AC156" i="5"/>
  <c r="AD156" i="5" s="1"/>
  <c r="E148" i="15"/>
  <c r="E148" i="14"/>
  <c r="B156" i="5"/>
  <c r="H172" i="13" s="1"/>
  <c r="X156" i="5" l="1"/>
  <c r="R156" i="5"/>
  <c r="K156" i="5"/>
  <c r="M156" i="5" s="1"/>
  <c r="O156" i="5" s="1"/>
  <c r="G156" i="5"/>
  <c r="P156" i="5"/>
  <c r="Q156" i="5" s="1"/>
  <c r="B149" i="14"/>
  <c r="G149" i="14" s="1"/>
  <c r="B149" i="15"/>
  <c r="G149" i="15" s="1"/>
  <c r="V156" i="5"/>
  <c r="S156" i="5" l="1"/>
  <c r="Y156" i="5" s="1"/>
  <c r="Z156" i="5" s="1"/>
  <c r="F149" i="14"/>
  <c r="F149" i="15"/>
  <c r="I149" i="15"/>
  <c r="I149" i="14"/>
  <c r="T156" i="5" l="1"/>
  <c r="H156" i="5"/>
  <c r="L157" i="5"/>
  <c r="J156" i="5" l="1"/>
  <c r="W156" i="5" s="1"/>
  <c r="K172" i="13"/>
  <c r="H149" i="14"/>
  <c r="J172" i="13"/>
  <c r="H149" i="15"/>
  <c r="U156" i="5" l="1"/>
  <c r="I172" i="13" s="1"/>
  <c r="AC157" i="5"/>
  <c r="AD157" i="5" s="1"/>
  <c r="AA156" i="5"/>
  <c r="E149" i="14" l="1"/>
  <c r="B157" i="5"/>
  <c r="H173" i="13" s="1"/>
  <c r="E149" i="15"/>
  <c r="K157" i="5" l="1"/>
  <c r="M157" i="5" s="1"/>
  <c r="O157" i="5" s="1"/>
  <c r="V157" i="5"/>
  <c r="F150" i="14" s="1"/>
  <c r="P157" i="5"/>
  <c r="Q157" i="5" s="1"/>
  <c r="G157" i="5"/>
  <c r="R157" i="5"/>
  <c r="X157" i="5"/>
  <c r="I150" i="15" s="1"/>
  <c r="B150" i="15"/>
  <c r="G150" i="15" s="1"/>
  <c r="B150" i="14"/>
  <c r="G150" i="14" s="1"/>
  <c r="S157" i="5" l="1"/>
  <c r="Y157" i="5" s="1"/>
  <c r="Z157" i="5" s="1"/>
  <c r="H157" i="5" s="1"/>
  <c r="F150" i="15"/>
  <c r="I150" i="14"/>
  <c r="L158" i="5" l="1"/>
  <c r="T157" i="5"/>
  <c r="H150" i="14" s="1"/>
  <c r="J157" i="5"/>
  <c r="AC158" i="5" s="1"/>
  <c r="AD158" i="5" s="1"/>
  <c r="O31" i="16" s="1"/>
  <c r="K173" i="13"/>
  <c r="H150" i="15" l="1"/>
  <c r="J173" i="13"/>
  <c r="W157" i="5"/>
  <c r="N31" i="16" s="1"/>
  <c r="U157" i="5"/>
  <c r="I173" i="13" s="1"/>
  <c r="AA157" i="5" l="1"/>
  <c r="B158" i="5"/>
  <c r="E150" i="14"/>
  <c r="E150" i="15"/>
  <c r="H174" i="13" l="1"/>
  <c r="B31" i="16"/>
  <c r="B151" i="14"/>
  <c r="G151" i="14" s="1"/>
  <c r="G158" i="5"/>
  <c r="K158" i="5"/>
  <c r="M158" i="5" s="1"/>
  <c r="O158" i="5" s="1"/>
  <c r="X158" i="5"/>
  <c r="R158" i="5"/>
  <c r="V158" i="5"/>
  <c r="J31" i="16" s="1"/>
  <c r="P158" i="5"/>
  <c r="Q158" i="5" s="1"/>
  <c r="B151" i="15"/>
  <c r="G151" i="15" s="1"/>
  <c r="D31" i="16" l="1"/>
  <c r="C31" i="16"/>
  <c r="I151" i="15"/>
  <c r="L31" i="16"/>
  <c r="F151" i="14"/>
  <c r="I151" i="14"/>
  <c r="F151" i="15"/>
  <c r="S158" i="5"/>
  <c r="Y158" i="5" s="1"/>
  <c r="Z158" i="5" s="1"/>
  <c r="T158" i="5" l="1"/>
  <c r="H158" i="5"/>
  <c r="K174" i="13" s="1"/>
  <c r="L159" i="5"/>
  <c r="J174" i="13" l="1"/>
  <c r="K31" i="16"/>
  <c r="H151" i="14"/>
  <c r="H151" i="15"/>
  <c r="J158" i="5"/>
  <c r="H31" i="16" s="1"/>
  <c r="AC159" i="5" l="1"/>
  <c r="AD159" i="5" s="1"/>
  <c r="U158" i="5"/>
  <c r="W158" i="5"/>
  <c r="I174" i="13" l="1"/>
  <c r="I31" i="16"/>
  <c r="AA158" i="5"/>
  <c r="E151" i="15"/>
  <c r="E151" i="14"/>
  <c r="B159" i="5"/>
  <c r="H175" i="13" s="1"/>
  <c r="B152" i="15" l="1"/>
  <c r="G152" i="15" s="1"/>
  <c r="P159" i="5"/>
  <c r="Q159" i="5" s="1"/>
  <c r="G159" i="5"/>
  <c r="K159" i="5"/>
  <c r="M159" i="5" s="1"/>
  <c r="O159" i="5" s="1"/>
  <c r="V159" i="5"/>
  <c r="B152" i="14"/>
  <c r="G152" i="14" s="1"/>
  <c r="R159" i="5"/>
  <c r="X159" i="5"/>
  <c r="S159" i="5" l="1"/>
  <c r="Y159" i="5" s="1"/>
  <c r="Z159" i="5" s="1"/>
  <c r="F152" i="14"/>
  <c r="F152" i="15"/>
  <c r="I152" i="15"/>
  <c r="I152" i="14"/>
  <c r="T159" i="5" l="1"/>
  <c r="H159" i="5"/>
  <c r="L160" i="5"/>
  <c r="J159" i="5" l="1"/>
  <c r="W159" i="5" s="1"/>
  <c r="K175" i="13"/>
  <c r="H152" i="15"/>
  <c r="J175" i="13"/>
  <c r="H152" i="14"/>
  <c r="U159" i="5" l="1"/>
  <c r="I175" i="13" s="1"/>
  <c r="AC160" i="5"/>
  <c r="AD160" i="5" s="1"/>
  <c r="AA159" i="5"/>
  <c r="E152" i="14" l="1"/>
  <c r="B160" i="5"/>
  <c r="H176" i="13" s="1"/>
  <c r="E152" i="15"/>
  <c r="K160" i="5" l="1"/>
  <c r="M160" i="5" s="1"/>
  <c r="O160" i="5" s="1"/>
  <c r="B153" i="14"/>
  <c r="G153" i="14" s="1"/>
  <c r="R160" i="5"/>
  <c r="V160" i="5"/>
  <c r="F153" i="14" s="1"/>
  <c r="G160" i="5"/>
  <c r="B153" i="15"/>
  <c r="G153" i="15" s="1"/>
  <c r="P160" i="5"/>
  <c r="Q160" i="5" s="1"/>
  <c r="X160" i="5"/>
  <c r="I153" i="15" s="1"/>
  <c r="S160" i="5" l="1"/>
  <c r="T160" i="5" s="1"/>
  <c r="J176" i="13" s="1"/>
  <c r="F153" i="15"/>
  <c r="I153" i="14"/>
  <c r="H153" i="14" l="1"/>
  <c r="H153" i="15"/>
  <c r="Y160" i="5"/>
  <c r="Z160" i="5" s="1"/>
  <c r="H160" i="5" s="1"/>
  <c r="J160" i="5" s="1"/>
  <c r="U160" i="5" s="1"/>
  <c r="I176" i="13" s="1"/>
  <c r="L161" i="5" l="1"/>
  <c r="K176" i="13"/>
  <c r="W160" i="5"/>
  <c r="AA160" i="5" s="1"/>
  <c r="AC161" i="5"/>
  <c r="AD161" i="5" s="1"/>
  <c r="E153" i="15"/>
  <c r="E153" i="14"/>
  <c r="B161" i="5"/>
  <c r="H177" i="13" s="1"/>
  <c r="V161" i="5" l="1"/>
  <c r="K161" i="5"/>
  <c r="M161" i="5" s="1"/>
  <c r="O161" i="5" s="1"/>
  <c r="R161" i="5"/>
  <c r="G161" i="5"/>
  <c r="B154" i="14"/>
  <c r="G154" i="14" s="1"/>
  <c r="P161" i="5"/>
  <c r="Q161" i="5" s="1"/>
  <c r="B154" i="15"/>
  <c r="G154" i="15" s="1"/>
  <c r="X161" i="5"/>
  <c r="S161" i="5" l="1"/>
  <c r="I154" i="15"/>
  <c r="I154" i="14"/>
  <c r="F154" i="15"/>
  <c r="F154" i="14"/>
  <c r="T161" i="5" l="1"/>
  <c r="J177" i="13" s="1"/>
  <c r="Y161" i="5"/>
  <c r="Z161" i="5" s="1"/>
  <c r="H161" i="5" l="1"/>
  <c r="L162" i="5"/>
  <c r="H154" i="14"/>
  <c r="H154" i="15"/>
  <c r="J161" i="5" l="1"/>
  <c r="AC162" i="5" s="1"/>
  <c r="AD162" i="5" s="1"/>
  <c r="K177" i="13"/>
  <c r="W161" i="5" l="1"/>
  <c r="AA161" i="5" s="1"/>
  <c r="U161" i="5"/>
  <c r="I177" i="13" s="1"/>
  <c r="B162" i="5" l="1"/>
  <c r="H178" i="13" s="1"/>
  <c r="E154" i="15"/>
  <c r="E154" i="14"/>
  <c r="G162" i="5" l="1"/>
  <c r="V162" i="5"/>
  <c r="F155" i="14" s="1"/>
  <c r="B155" i="15"/>
  <c r="G155" i="15" s="1"/>
  <c r="P162" i="5"/>
  <c r="Q162" i="5" s="1"/>
  <c r="K162" i="5"/>
  <c r="M162" i="5" s="1"/>
  <c r="O162" i="5" s="1"/>
  <c r="R162" i="5"/>
  <c r="X162" i="5"/>
  <c r="I155" i="14" s="1"/>
  <c r="B155" i="14"/>
  <c r="G155" i="14" s="1"/>
  <c r="S162" i="5" l="1"/>
  <c r="Y162" i="5" s="1"/>
  <c r="Z162" i="5" s="1"/>
  <c r="L163" i="5" s="1"/>
  <c r="F155" i="15"/>
  <c r="I155" i="15"/>
  <c r="H162" i="5" l="1"/>
  <c r="J162" i="5" s="1"/>
  <c r="T162" i="5"/>
  <c r="J178" i="13" s="1"/>
  <c r="K178" i="13" l="1"/>
  <c r="H155" i="15"/>
  <c r="H155" i="14"/>
  <c r="U162" i="5"/>
  <c r="I178" i="13" s="1"/>
  <c r="W162" i="5"/>
  <c r="AA162" i="5" s="1"/>
  <c r="AC163" i="5"/>
  <c r="AD163" i="5" s="1"/>
  <c r="E155" i="14" l="1"/>
  <c r="E155" i="15"/>
  <c r="B163" i="5"/>
  <c r="H179" i="13" s="1"/>
  <c r="V163" i="5" l="1"/>
  <c r="F156" i="14" s="1"/>
  <c r="P163" i="5"/>
  <c r="Q163" i="5" s="1"/>
  <c r="R163" i="5"/>
  <c r="G163" i="5"/>
  <c r="X163" i="5"/>
  <c r="I156" i="14" s="1"/>
  <c r="K163" i="5"/>
  <c r="M163" i="5" s="1"/>
  <c r="O163" i="5" s="1"/>
  <c r="B156" i="14"/>
  <c r="G156" i="14" s="1"/>
  <c r="B156" i="15"/>
  <c r="G156" i="15" s="1"/>
  <c r="F156" i="15" l="1"/>
  <c r="S163" i="5"/>
  <c r="T163" i="5" s="1"/>
  <c r="J179" i="13" s="1"/>
  <c r="I156" i="15"/>
  <c r="H156" i="14" l="1"/>
  <c r="Y163" i="5"/>
  <c r="Z163" i="5" s="1"/>
  <c r="H163" i="5" s="1"/>
  <c r="J163" i="5" s="1"/>
  <c r="AC164" i="5" s="1"/>
  <c r="AD164" i="5" s="1"/>
  <c r="H156" i="15"/>
  <c r="L164" i="5" l="1"/>
  <c r="K179" i="13"/>
  <c r="W163" i="5"/>
  <c r="AA163" i="5" s="1"/>
  <c r="U163" i="5"/>
  <c r="I179" i="13" s="1"/>
  <c r="B164" i="5" l="1"/>
  <c r="H180" i="13" s="1"/>
  <c r="E156" i="15"/>
  <c r="E156" i="14"/>
  <c r="P164" i="5" l="1"/>
  <c r="Q164" i="5" s="1"/>
  <c r="K164" i="5"/>
  <c r="M164" i="5" s="1"/>
  <c r="O164" i="5" s="1"/>
  <c r="X164" i="5"/>
  <c r="V164" i="5"/>
  <c r="G164" i="5"/>
  <c r="R164" i="5"/>
  <c r="S164" i="5" l="1"/>
  <c r="T164" i="5" s="1"/>
  <c r="J180" i="13" s="1"/>
  <c r="Y164" i="5" l="1"/>
  <c r="Z164" i="5" s="1"/>
  <c r="H164" i="5" s="1"/>
  <c r="L165" i="5" l="1"/>
  <c r="J164" i="5"/>
  <c r="AC165" i="5" s="1"/>
  <c r="AD165" i="5" s="1"/>
  <c r="O32" i="16" s="1"/>
  <c r="K180" i="13"/>
  <c r="W164" i="5" l="1"/>
  <c r="U164" i="5"/>
  <c r="B165" i="5" s="1"/>
  <c r="B32" i="16" s="1"/>
  <c r="C32" i="16" l="1"/>
  <c r="D32" i="16"/>
  <c r="AA164" i="5"/>
  <c r="N32" i="16"/>
  <c r="I180" i="13"/>
  <c r="H181" i="13"/>
  <c r="P165" i="5"/>
  <c r="Q165" i="5" s="1"/>
  <c r="K165" i="5"/>
  <c r="M165" i="5" s="1"/>
  <c r="G165" i="5"/>
  <c r="R165" i="5"/>
  <c r="V165" i="5"/>
  <c r="J32" i="16" s="1"/>
  <c r="X165" i="5"/>
  <c r="L32" i="16" s="1"/>
  <c r="O165" i="5" l="1"/>
  <c r="S165" i="5" s="1"/>
  <c r="Y165" i="5" l="1"/>
  <c r="Z165" i="5" s="1"/>
  <c r="T165" i="5"/>
  <c r="K32" i="16" s="1"/>
  <c r="J181" i="13" l="1"/>
  <c r="H165" i="5"/>
  <c r="K181" i="13" s="1"/>
  <c r="L166" i="5"/>
  <c r="J165" i="5" l="1"/>
  <c r="H32" i="16" s="1"/>
  <c r="U165" i="5" l="1"/>
  <c r="AC166" i="5"/>
  <c r="AD166" i="5" s="1"/>
  <c r="W165" i="5"/>
  <c r="I181" i="13" l="1"/>
  <c r="I32" i="16"/>
  <c r="B166" i="5"/>
  <c r="AA165" i="5"/>
  <c r="X166" i="5" l="1"/>
  <c r="H182" i="13"/>
  <c r="R166" i="5"/>
  <c r="P166" i="5"/>
  <c r="Q166" i="5" s="1"/>
  <c r="K166" i="5"/>
  <c r="M166" i="5" s="1"/>
  <c r="O166" i="5" s="1"/>
  <c r="V166" i="5"/>
  <c r="G166" i="5"/>
  <c r="S166" i="5" l="1"/>
  <c r="Y166" i="5" s="1"/>
  <c r="Z166" i="5" s="1"/>
  <c r="T166" i="5" l="1"/>
  <c r="J182" i="13" s="1"/>
  <c r="H166" i="5"/>
  <c r="L167" i="5"/>
  <c r="J166" i="5" l="1"/>
  <c r="AC167" i="5" s="1"/>
  <c r="AD167" i="5" s="1"/>
  <c r="K182" i="13"/>
  <c r="W166" i="5" l="1"/>
  <c r="AA166" i="5" s="1"/>
  <c r="U166" i="5"/>
  <c r="B167" i="5" s="1"/>
  <c r="I182" i="13" l="1"/>
  <c r="H183" i="13"/>
  <c r="G167" i="5"/>
  <c r="V167" i="5"/>
  <c r="R167" i="5"/>
  <c r="P167" i="5"/>
  <c r="Q167" i="5" s="1"/>
  <c r="K167" i="5"/>
  <c r="M167" i="5" s="1"/>
  <c r="O167" i="5" s="1"/>
  <c r="X167" i="5"/>
  <c r="S167" i="5" l="1"/>
  <c r="Y167" i="5" s="1"/>
  <c r="Z167" i="5" s="1"/>
  <c r="L168" i="5" s="1"/>
  <c r="H167" i="5" l="1"/>
  <c r="J167" i="5" s="1"/>
  <c r="T167" i="5"/>
  <c r="J183" i="13" s="1"/>
  <c r="U167" i="5" l="1"/>
  <c r="B168" i="5" s="1"/>
  <c r="H184" i="13" s="1"/>
  <c r="W167" i="5"/>
  <c r="AA167" i="5" s="1"/>
  <c r="K183" i="13"/>
  <c r="AC168" i="5"/>
  <c r="AD168" i="5" s="1"/>
  <c r="I183" i="13" l="1"/>
  <c r="P168" i="5"/>
  <c r="Q168" i="5" s="1"/>
  <c r="V168" i="5"/>
  <c r="R168" i="5"/>
  <c r="G168" i="5"/>
  <c r="K168" i="5"/>
  <c r="M168" i="5" s="1"/>
  <c r="O168" i="5" s="1"/>
  <c r="X168" i="5"/>
  <c r="S168" i="5" l="1"/>
  <c r="T168" i="5" s="1"/>
  <c r="J184" i="13" s="1"/>
  <c r="Y168" i="5" l="1"/>
  <c r="Z168" i="5" s="1"/>
  <c r="H168" i="5" s="1"/>
  <c r="J168" i="5" s="1"/>
  <c r="AC169" i="5" s="1"/>
  <c r="AD169" i="5" s="1"/>
  <c r="L169" i="5" l="1"/>
  <c r="K184" i="13"/>
  <c r="W168" i="5"/>
  <c r="AA168" i="5" s="1"/>
  <c r="U168" i="5"/>
  <c r="B169" i="5" s="1"/>
  <c r="I184" i="13" l="1"/>
  <c r="H185" i="13"/>
  <c r="R169" i="5"/>
  <c r="K169" i="5"/>
  <c r="M169" i="5" s="1"/>
  <c r="O169" i="5" s="1"/>
  <c r="G169" i="5"/>
  <c r="P169" i="5"/>
  <c r="Q169" i="5" s="1"/>
  <c r="V169" i="5"/>
  <c r="X169" i="5"/>
  <c r="S169" i="5" l="1"/>
  <c r="T169" i="5" s="1"/>
  <c r="J185" i="13" s="1"/>
  <c r="Y169" i="5" l="1"/>
  <c r="Z169" i="5" s="1"/>
  <c r="H169" i="5" s="1"/>
  <c r="J169" i="5" s="1"/>
  <c r="U169" i="5" s="1"/>
  <c r="K185" i="13" l="1"/>
  <c r="L170" i="5"/>
  <c r="W169" i="5"/>
  <c r="AA169" i="5" s="1"/>
  <c r="AC170" i="5"/>
  <c r="AD170" i="5" s="1"/>
  <c r="B170" i="5"/>
  <c r="H186" i="13" s="1"/>
  <c r="I185" i="13"/>
  <c r="P170" i="5" l="1"/>
  <c r="Q170" i="5" s="1"/>
  <c r="K170" i="5"/>
  <c r="M170" i="5" s="1"/>
  <c r="O170" i="5" s="1"/>
  <c r="R170" i="5"/>
  <c r="G170" i="5"/>
  <c r="V170" i="5"/>
  <c r="X170" i="5"/>
  <c r="S170" i="5" l="1"/>
  <c r="T170" i="5" s="1"/>
  <c r="J186" i="13" s="1"/>
  <c r="Y170" i="5" l="1"/>
  <c r="Z170" i="5" s="1"/>
  <c r="H170" i="5" s="1"/>
  <c r="L171" i="5" l="1"/>
  <c r="J170" i="5"/>
  <c r="AC171" i="5" s="1"/>
  <c r="AD171" i="5" s="1"/>
  <c r="K186" i="13"/>
  <c r="W170" i="5" l="1"/>
  <c r="AA170" i="5" s="1"/>
  <c r="U170" i="5"/>
  <c r="B171" i="5" s="1"/>
  <c r="H187" i="13" s="1"/>
  <c r="I186" i="13" l="1"/>
  <c r="P171" i="5"/>
  <c r="Q171" i="5" s="1"/>
  <c r="X171" i="5"/>
  <c r="G171" i="5"/>
  <c r="V171" i="5"/>
  <c r="K171" i="5"/>
  <c r="M171" i="5" s="1"/>
  <c r="O171" i="5" s="1"/>
  <c r="R171" i="5"/>
  <c r="S171" i="5" l="1"/>
  <c r="T171" i="5" s="1"/>
  <c r="J187" i="13" s="1"/>
  <c r="Y171" i="5" l="1"/>
  <c r="Z171" i="5" s="1"/>
  <c r="H171" i="5" s="1"/>
  <c r="L172" i="5" l="1"/>
  <c r="J171" i="5"/>
  <c r="U171" i="5" s="1"/>
  <c r="K187" i="13"/>
  <c r="W171" i="5" l="1"/>
  <c r="AC172" i="5"/>
  <c r="AD172" i="5" s="1"/>
  <c r="O33" i="16" s="1"/>
  <c r="B172" i="5"/>
  <c r="I187" i="13"/>
  <c r="AA171" i="5" l="1"/>
  <c r="N33" i="16"/>
  <c r="H188" i="13"/>
  <c r="B33" i="16"/>
  <c r="X172" i="5"/>
  <c r="L33" i="16" s="1"/>
  <c r="P172" i="5"/>
  <c r="Q172" i="5" s="1"/>
  <c r="G172" i="5"/>
  <c r="R172" i="5"/>
  <c r="V172" i="5"/>
  <c r="J33" i="16" s="1"/>
  <c r="K172" i="5"/>
  <c r="C33" i="16" l="1"/>
  <c r="D33" i="16"/>
  <c r="M172" i="5"/>
  <c r="O172" i="5" l="1"/>
  <c r="S172" i="5" s="1"/>
  <c r="T172" i="5" s="1"/>
  <c r="K33" i="16" s="1"/>
  <c r="Y172" i="5" l="1"/>
  <c r="Z172" i="5" s="1"/>
  <c r="H172" i="5" s="1"/>
  <c r="K188" i="13" s="1"/>
  <c r="J188" i="13"/>
  <c r="L173" i="5" l="1"/>
  <c r="J172" i="5"/>
  <c r="H33" i="16" s="1"/>
  <c r="U172" i="5" l="1"/>
  <c r="AC173" i="5"/>
  <c r="AD173" i="5" s="1"/>
  <c r="W172" i="5"/>
  <c r="I188" i="13" l="1"/>
  <c r="I33" i="16"/>
  <c r="AA172" i="5"/>
  <c r="B173" i="5"/>
  <c r="X173" i="5" l="1"/>
  <c r="H189" i="13"/>
  <c r="G173" i="5"/>
  <c r="P173" i="5"/>
  <c r="Q173" i="5" s="1"/>
  <c r="V173" i="5"/>
  <c r="K173" i="5"/>
  <c r="M173" i="5" s="1"/>
  <c r="O173" i="5" s="1"/>
  <c r="R173" i="5"/>
  <c r="S173" i="5" l="1"/>
  <c r="T173" i="5" s="1"/>
  <c r="J189" i="13" s="1"/>
  <c r="Y173" i="5" l="1"/>
  <c r="Z173" i="5" s="1"/>
  <c r="L174" i="5" s="1"/>
  <c r="H173" i="5" l="1"/>
  <c r="J173" i="5" l="1"/>
  <c r="AC174" i="5" s="1"/>
  <c r="AD174" i="5" s="1"/>
  <c r="K189" i="13"/>
  <c r="U173" i="5" l="1"/>
  <c r="B174" i="5" s="1"/>
  <c r="W173" i="5"/>
  <c r="AA173" i="5" s="1"/>
  <c r="I189" i="13" l="1"/>
  <c r="V174" i="5"/>
  <c r="X174" i="5"/>
  <c r="P174" i="5"/>
  <c r="Q174" i="5" s="1"/>
  <c r="K174" i="5"/>
  <c r="M174" i="5" s="1"/>
  <c r="O174" i="5" s="1"/>
  <c r="R174" i="5"/>
  <c r="G174" i="5"/>
  <c r="H190" i="13"/>
  <c r="S174" i="5" l="1"/>
  <c r="Y174" i="5" s="1"/>
  <c r="Z174" i="5" s="1"/>
  <c r="H174" i="5" s="1"/>
  <c r="J174" i="5" s="1"/>
  <c r="W174" i="5" s="1"/>
  <c r="T174" i="5" l="1"/>
  <c r="U174" i="5" s="1"/>
  <c r="L175" i="5"/>
  <c r="K190" i="13"/>
  <c r="AC175" i="5"/>
  <c r="AD175" i="5" s="1"/>
  <c r="AA174" i="5"/>
  <c r="J190" i="13" l="1"/>
  <c r="B175" i="5"/>
  <c r="I190" i="13"/>
  <c r="H191" i="13" l="1"/>
  <c r="P175" i="5"/>
  <c r="Q175" i="5" s="1"/>
  <c r="V175" i="5"/>
  <c r="K175" i="5"/>
  <c r="M175" i="5" s="1"/>
  <c r="O175" i="5" s="1"/>
  <c r="R175" i="5"/>
  <c r="X175" i="5"/>
  <c r="G175" i="5"/>
  <c r="S175" i="5" l="1"/>
  <c r="Y175" i="5" s="1"/>
  <c r="Z175" i="5" s="1"/>
  <c r="H175" i="5" s="1"/>
  <c r="L176" i="5" l="1"/>
  <c r="T175" i="5"/>
  <c r="J191" i="13" s="1"/>
  <c r="J175" i="5"/>
  <c r="AC176" i="5" s="1"/>
  <c r="AD176" i="5" s="1"/>
  <c r="K191" i="13"/>
  <c r="W175" i="5" l="1"/>
  <c r="AA175" i="5" s="1"/>
  <c r="U175" i="5"/>
  <c r="B176" i="5" s="1"/>
  <c r="H192" i="13" s="1"/>
  <c r="I191" i="13" l="1"/>
  <c r="G176" i="5"/>
  <c r="X176" i="5"/>
  <c r="P176" i="5"/>
  <c r="Q176" i="5" s="1"/>
  <c r="K176" i="5"/>
  <c r="M176" i="5" s="1"/>
  <c r="O176" i="5" s="1"/>
  <c r="R176" i="5"/>
  <c r="V176" i="5"/>
  <c r="S176" i="5" l="1"/>
  <c r="T176" i="5" s="1"/>
  <c r="J192" i="13" s="1"/>
  <c r="Y176" i="5" l="1"/>
  <c r="Z176" i="5" s="1"/>
  <c r="H176" i="5" s="1"/>
  <c r="L177" i="5" l="1"/>
  <c r="J176" i="5"/>
  <c r="U176" i="5" s="1"/>
  <c r="K192" i="13"/>
  <c r="W176" i="5" l="1"/>
  <c r="AA176" i="5" s="1"/>
  <c r="AC177" i="5"/>
  <c r="AD177" i="5" s="1"/>
  <c r="B177" i="5"/>
  <c r="H193" i="13" s="1"/>
  <c r="I192" i="13"/>
  <c r="K177" i="5" l="1"/>
  <c r="M177" i="5" s="1"/>
  <c r="O177" i="5" s="1"/>
  <c r="R177" i="5"/>
  <c r="G177" i="5"/>
  <c r="V177" i="5"/>
  <c r="P177" i="5"/>
  <c r="Q177" i="5" s="1"/>
  <c r="X177" i="5"/>
  <c r="S177" i="5" l="1"/>
  <c r="Y177" i="5" s="1"/>
  <c r="Z177" i="5" s="1"/>
  <c r="T177" i="5" l="1"/>
  <c r="J193" i="13" s="1"/>
  <c r="H177" i="5"/>
  <c r="L178" i="5"/>
  <c r="J177" i="5" l="1"/>
  <c r="U177" i="5" s="1"/>
  <c r="K193" i="13"/>
  <c r="W177" i="5" l="1"/>
  <c r="AC178" i="5"/>
  <c r="AD178" i="5" s="1"/>
  <c r="B178" i="5"/>
  <c r="H194" i="13" s="1"/>
  <c r="I193" i="13"/>
  <c r="V178" i="5" l="1"/>
  <c r="K178" i="5"/>
  <c r="M178" i="5" s="1"/>
  <c r="O178" i="5" s="1"/>
  <c r="R178" i="5"/>
  <c r="P178" i="5"/>
  <c r="Q178" i="5" s="1"/>
  <c r="G178" i="5"/>
  <c r="X178" i="5"/>
  <c r="AA177" i="5"/>
  <c r="S178" i="5" l="1"/>
  <c r="T178" i="5" s="1"/>
  <c r="J194" i="13" s="1"/>
  <c r="Y178" i="5" l="1"/>
  <c r="Z178" i="5" s="1"/>
  <c r="H178" i="5" s="1"/>
  <c r="J178" i="5" s="1"/>
  <c r="U178" i="5" s="1"/>
  <c r="K194" i="13" l="1"/>
  <c r="L179" i="5"/>
  <c r="W178" i="5"/>
  <c r="N34" i="16" s="1"/>
  <c r="AC179" i="5"/>
  <c r="AD179" i="5" s="1"/>
  <c r="O34" i="16" s="1"/>
  <c r="B179" i="5"/>
  <c r="I194" i="13"/>
  <c r="AA178" i="5" l="1"/>
  <c r="H195" i="13"/>
  <c r="B34" i="16"/>
  <c r="X179" i="5"/>
  <c r="L34" i="16" s="1"/>
  <c r="K179" i="5"/>
  <c r="P179" i="5"/>
  <c r="Q179" i="5" s="1"/>
  <c r="G179" i="5"/>
  <c r="R179" i="5"/>
  <c r="V179" i="5"/>
  <c r="J34" i="16" s="1"/>
  <c r="C34" i="16" l="1"/>
  <c r="D34" i="16"/>
  <c r="M179" i="5"/>
  <c r="O179" i="5" l="1"/>
  <c r="S179" i="5" s="1"/>
  <c r="Y179" i="5" s="1"/>
  <c r="Z179" i="5" s="1"/>
  <c r="T179" i="5" l="1"/>
  <c r="K34" i="16" s="1"/>
  <c r="H179" i="5"/>
  <c r="K195" i="13" s="1"/>
  <c r="L180" i="5"/>
  <c r="J195" i="13" l="1"/>
  <c r="J179" i="5"/>
  <c r="H34" i="16" s="1"/>
  <c r="AC180" i="5" l="1"/>
  <c r="AD180" i="5" s="1"/>
  <c r="U179" i="5"/>
  <c r="W179" i="5"/>
  <c r="I195" i="13" l="1"/>
  <c r="I34" i="16"/>
  <c r="AA179" i="5"/>
  <c r="B180" i="5"/>
  <c r="X180" i="5" l="1"/>
  <c r="H196" i="13"/>
  <c r="P180" i="5"/>
  <c r="Q180" i="5" s="1"/>
  <c r="V180" i="5"/>
  <c r="G180" i="5"/>
  <c r="K180" i="5"/>
  <c r="M180" i="5" s="1"/>
  <c r="O180" i="5" s="1"/>
  <c r="R180" i="5"/>
  <c r="S180" i="5" l="1"/>
  <c r="Y180" i="5" s="1"/>
  <c r="Z180" i="5" s="1"/>
  <c r="T180" i="5" l="1"/>
  <c r="J196" i="13" s="1"/>
  <c r="H180" i="5"/>
  <c r="L181" i="5"/>
  <c r="J180" i="5" l="1"/>
  <c r="U180" i="5" s="1"/>
  <c r="K196" i="13"/>
  <c r="W180" i="5" l="1"/>
  <c r="AA180" i="5" s="1"/>
  <c r="AC181" i="5"/>
  <c r="AD181" i="5" s="1"/>
  <c r="B181" i="5"/>
  <c r="H197" i="13" s="1"/>
  <c r="I196" i="13"/>
  <c r="P181" i="5" l="1"/>
  <c r="Q181" i="5" s="1"/>
  <c r="R181" i="5"/>
  <c r="X181" i="5"/>
  <c r="K181" i="5"/>
  <c r="M181" i="5" s="1"/>
  <c r="O181" i="5" s="1"/>
  <c r="V181" i="5"/>
  <c r="G181" i="5"/>
  <c r="S181" i="5" l="1"/>
  <c r="Y181" i="5" s="1"/>
  <c r="Z181" i="5" s="1"/>
  <c r="H181" i="5" s="1"/>
  <c r="L182" i="5" l="1"/>
  <c r="T181" i="5"/>
  <c r="J197" i="13" s="1"/>
  <c r="J181" i="5"/>
  <c r="K197" i="13"/>
  <c r="U181" i="5" l="1"/>
  <c r="I197" i="13" s="1"/>
  <c r="W181" i="5"/>
  <c r="AA181" i="5" s="1"/>
  <c r="AC182" i="5"/>
  <c r="AD182" i="5" s="1"/>
  <c r="B182" i="5" l="1"/>
  <c r="H198" i="13" s="1"/>
  <c r="K182" i="5" l="1"/>
  <c r="M182" i="5" s="1"/>
  <c r="O182" i="5" s="1"/>
  <c r="G182" i="5"/>
  <c r="P182" i="5"/>
  <c r="Q182" i="5" s="1"/>
  <c r="V182" i="5"/>
  <c r="X182" i="5"/>
  <c r="R182" i="5"/>
  <c r="S182" i="5" l="1"/>
  <c r="T182" i="5" s="1"/>
  <c r="J198" i="13" s="1"/>
  <c r="Y182" i="5" l="1"/>
  <c r="Z182" i="5" s="1"/>
  <c r="L183" i="5" s="1"/>
  <c r="H182" i="5" l="1"/>
  <c r="J182" i="5" s="1"/>
  <c r="K198" i="13" l="1"/>
  <c r="U182" i="5"/>
  <c r="W182" i="5"/>
  <c r="AC183" i="5"/>
  <c r="AD183" i="5" s="1"/>
  <c r="AA182" i="5" l="1"/>
  <c r="B183" i="5"/>
  <c r="I198" i="13"/>
  <c r="H199" i="13" l="1"/>
  <c r="R183" i="5"/>
  <c r="K183" i="5"/>
  <c r="M183" i="5" s="1"/>
  <c r="O183" i="5" s="1"/>
  <c r="V183" i="5"/>
  <c r="P183" i="5"/>
  <c r="Q183" i="5" s="1"/>
  <c r="G183" i="5"/>
  <c r="X183" i="5"/>
  <c r="S183" i="5" l="1"/>
  <c r="Y183" i="5" s="1"/>
  <c r="Z183" i="5" s="1"/>
  <c r="T183" i="5" l="1"/>
  <c r="J199" i="13" s="1"/>
  <c r="H183" i="5"/>
  <c r="L184" i="5"/>
  <c r="K199" i="13" l="1"/>
  <c r="J183" i="5"/>
  <c r="U183" i="5" l="1"/>
  <c r="W183" i="5"/>
  <c r="AC184" i="5"/>
  <c r="AD184" i="5" s="1"/>
  <c r="AA183" i="5" l="1"/>
  <c r="B184" i="5"/>
  <c r="I199" i="13"/>
  <c r="H200" i="13" l="1"/>
  <c r="G184" i="5"/>
  <c r="K184" i="5"/>
  <c r="M184" i="5" s="1"/>
  <c r="O184" i="5" s="1"/>
  <c r="R184" i="5"/>
  <c r="V184" i="5"/>
  <c r="P184" i="5"/>
  <c r="Q184" i="5" s="1"/>
  <c r="X184" i="5"/>
  <c r="S184" i="5" l="1"/>
  <c r="T184" i="5" l="1"/>
  <c r="J200" i="13" s="1"/>
  <c r="Y184" i="5"/>
  <c r="Z184" i="5" s="1"/>
  <c r="L185" i="5" l="1"/>
  <c r="H184" i="5"/>
  <c r="J184" i="5" l="1"/>
  <c r="K200" i="13"/>
  <c r="U184" i="5" l="1"/>
  <c r="AC185" i="5"/>
  <c r="AD185" i="5" s="1"/>
  <c r="W184" i="5"/>
  <c r="I200" i="13" l="1"/>
  <c r="B185" i="5"/>
  <c r="X185" i="5" s="1"/>
  <c r="AA184" i="5"/>
  <c r="P185" i="5" l="1"/>
  <c r="Q185" i="5" s="1"/>
  <c r="G185" i="5"/>
  <c r="H201" i="13"/>
  <c r="V185" i="5"/>
  <c r="K185" i="5"/>
  <c r="M185" i="5" s="1"/>
  <c r="O185" i="5" s="1"/>
  <c r="R185" i="5"/>
  <c r="S185" i="5" l="1"/>
  <c r="T185" i="5" l="1"/>
  <c r="J201" i="13" s="1"/>
  <c r="Y185" i="5"/>
  <c r="Z185" i="5" s="1"/>
  <c r="L186" i="5" l="1"/>
  <c r="H185" i="5"/>
  <c r="K201" i="13" l="1"/>
  <c r="J185" i="5"/>
  <c r="U185" i="5" l="1"/>
  <c r="W185" i="5"/>
  <c r="N35" i="16" s="1"/>
  <c r="AC186" i="5"/>
  <c r="AD186" i="5" s="1"/>
  <c r="O35" i="16" s="1"/>
  <c r="I201" i="13" l="1"/>
  <c r="B186" i="5"/>
  <c r="AA185" i="5"/>
  <c r="X186" i="5" l="1"/>
  <c r="L35" i="16" s="1"/>
  <c r="B35" i="16"/>
  <c r="H202" i="13"/>
  <c r="P186" i="5"/>
  <c r="Q186" i="5" s="1"/>
  <c r="R186" i="5"/>
  <c r="V186" i="5"/>
  <c r="J35" i="16" s="1"/>
  <c r="G186" i="5"/>
  <c r="K186" i="5"/>
  <c r="D35" i="16" l="1"/>
  <c r="C35" i="16"/>
  <c r="M186" i="5"/>
  <c r="O186" i="5" l="1"/>
  <c r="S186" i="5" s="1"/>
  <c r="T186" i="5" l="1"/>
  <c r="K35" i="16" s="1"/>
  <c r="Y186" i="5"/>
  <c r="Z186" i="5" s="1"/>
  <c r="L187" i="5" l="1"/>
  <c r="H186" i="5"/>
  <c r="J202" i="13"/>
  <c r="K202" i="13" l="1"/>
  <c r="J186" i="5"/>
  <c r="H35" i="16" s="1"/>
  <c r="W186" i="5" l="1"/>
  <c r="AA186" i="5" s="1"/>
  <c r="AC187" i="5"/>
  <c r="AD187" i="5" s="1"/>
  <c r="U186" i="5"/>
  <c r="I35" i="16" s="1"/>
  <c r="B187" i="5" l="1"/>
  <c r="I202" i="13"/>
  <c r="X187" i="5" l="1"/>
  <c r="R187" i="5"/>
  <c r="G187" i="5"/>
  <c r="V187" i="5"/>
  <c r="K187" i="5"/>
  <c r="M187" i="5" s="1"/>
  <c r="O187" i="5" s="1"/>
  <c r="H203" i="13"/>
  <c r="P187" i="5"/>
  <c r="Q187" i="5" s="1"/>
  <c r="S187" i="5" l="1"/>
  <c r="T187" i="5" s="1"/>
  <c r="J203" i="13" s="1"/>
  <c r="Y187" i="5" l="1"/>
  <c r="Z187" i="5" s="1"/>
  <c r="L188" i="5" s="1"/>
  <c r="H187" i="5" l="1"/>
  <c r="K203" i="13" s="1"/>
  <c r="J187" i="5" l="1"/>
  <c r="AC188" i="5" s="1"/>
  <c r="AD188" i="5" s="1"/>
  <c r="U187" i="5" l="1"/>
  <c r="B188" i="5" s="1"/>
  <c r="W187" i="5"/>
  <c r="AA187" i="5" s="1"/>
  <c r="I203" i="13" l="1"/>
  <c r="X188" i="5"/>
  <c r="V188" i="5"/>
  <c r="H204" i="13"/>
  <c r="P188" i="5"/>
  <c r="Q188" i="5" s="1"/>
  <c r="G188" i="5"/>
  <c r="K188" i="5"/>
  <c r="M188" i="5" s="1"/>
  <c r="O188" i="5" s="1"/>
  <c r="R188" i="5"/>
  <c r="S188" i="5" l="1"/>
  <c r="T188" i="5" s="1"/>
  <c r="J204" i="13" s="1"/>
  <c r="Y188" i="5" l="1"/>
  <c r="Z188" i="5" s="1"/>
  <c r="L189" i="5" s="1"/>
  <c r="H188" i="5" l="1"/>
  <c r="J188" i="5" s="1"/>
  <c r="K204" i="13" l="1"/>
  <c r="W188" i="5"/>
  <c r="AA188" i="5" s="1"/>
  <c r="U188" i="5"/>
  <c r="AC189" i="5"/>
  <c r="AD189" i="5" s="1"/>
  <c r="B189" i="5" l="1"/>
  <c r="I204" i="13"/>
  <c r="X189" i="5" l="1"/>
  <c r="P189" i="5"/>
  <c r="Q189" i="5" s="1"/>
  <c r="V189" i="5"/>
  <c r="K189" i="5"/>
  <c r="M189" i="5" s="1"/>
  <c r="O189" i="5" s="1"/>
  <c r="G189" i="5"/>
  <c r="H205" i="13"/>
  <c r="R189" i="5"/>
  <c r="S189" i="5" l="1"/>
  <c r="T189" i="5" s="1"/>
  <c r="J205" i="13" s="1"/>
  <c r="Y189" i="5" l="1"/>
  <c r="Z189" i="5" s="1"/>
  <c r="L190" i="5" s="1"/>
  <c r="H189" i="5" l="1"/>
  <c r="J189" i="5" s="1"/>
  <c r="K205" i="13" l="1"/>
  <c r="W189" i="5"/>
  <c r="AA189" i="5" s="1"/>
  <c r="U189" i="5"/>
  <c r="AC190" i="5"/>
  <c r="AD190" i="5" s="1"/>
  <c r="B190" i="5" l="1"/>
  <c r="I205" i="13"/>
  <c r="X190" i="5" l="1"/>
  <c r="V190" i="5"/>
  <c r="H206" i="13"/>
  <c r="P190" i="5"/>
  <c r="Q190" i="5" s="1"/>
  <c r="G190" i="5"/>
  <c r="R190" i="5"/>
  <c r="K190" i="5"/>
  <c r="M190" i="5" s="1"/>
  <c r="O190" i="5" s="1"/>
  <c r="S190" i="5" l="1"/>
  <c r="Y190" i="5" s="1"/>
  <c r="Z190" i="5" s="1"/>
  <c r="T190" i="5" l="1"/>
  <c r="J206" i="13" s="1"/>
  <c r="L191" i="5"/>
  <c r="H190" i="5"/>
  <c r="K206" i="13" l="1"/>
  <c r="J190" i="5"/>
  <c r="AC191" i="5" l="1"/>
  <c r="AD191" i="5" s="1"/>
  <c r="U190" i="5"/>
  <c r="W190" i="5"/>
  <c r="AA190" i="5" l="1"/>
  <c r="I206" i="13"/>
  <c r="B191" i="5"/>
  <c r="R191" i="5" l="1"/>
  <c r="P191" i="5"/>
  <c r="Q191" i="5" s="1"/>
  <c r="H207" i="13"/>
  <c r="K191" i="5"/>
  <c r="M191" i="5" s="1"/>
  <c r="O191" i="5" s="1"/>
  <c r="G191" i="5"/>
  <c r="V191" i="5"/>
  <c r="X191" i="5"/>
  <c r="S191" i="5" l="1"/>
  <c r="Y191" i="5" l="1"/>
  <c r="Z191" i="5" s="1"/>
  <c r="T191" i="5"/>
  <c r="J207" i="13" s="1"/>
  <c r="H191" i="5" l="1"/>
  <c r="L192" i="5"/>
  <c r="J191" i="5" l="1"/>
  <c r="K207" i="13"/>
  <c r="AC192" i="5" l="1"/>
  <c r="AD192" i="5" s="1"/>
  <c r="W191" i="5"/>
  <c r="U191" i="5"/>
  <c r="AA191" i="5" l="1"/>
  <c r="I207" i="13"/>
  <c r="B192" i="5"/>
  <c r="V192" i="5" l="1"/>
  <c r="P192" i="5"/>
  <c r="Q192" i="5" s="1"/>
  <c r="G192" i="5"/>
  <c r="H208" i="13"/>
  <c r="K192" i="5"/>
  <c r="M192" i="5" s="1"/>
  <c r="O192" i="5" s="1"/>
  <c r="R192" i="5"/>
  <c r="X192" i="5"/>
  <c r="S192" i="5" l="1"/>
  <c r="T192" i="5" s="1"/>
  <c r="J208" i="13" s="1"/>
  <c r="Y192" i="5" l="1"/>
  <c r="Z192" i="5" s="1"/>
  <c r="H192" i="5" s="1"/>
  <c r="L193" i="5" l="1"/>
  <c r="J192" i="5"/>
  <c r="K208" i="13"/>
  <c r="U192" i="5" l="1"/>
  <c r="W192" i="5"/>
  <c r="N36" i="16" s="1"/>
  <c r="AC193" i="5"/>
  <c r="AD193" i="5" s="1"/>
  <c r="O36" i="16" s="1"/>
  <c r="AA192" i="5" l="1"/>
  <c r="B193" i="5"/>
  <c r="B36" i="16" s="1"/>
  <c r="I208" i="13"/>
  <c r="C36" i="16" l="1"/>
  <c r="D36" i="16"/>
  <c r="P193" i="5"/>
  <c r="Q193" i="5" s="1"/>
  <c r="K193" i="5"/>
  <c r="G193" i="5"/>
  <c r="H209" i="13"/>
  <c r="V193" i="5"/>
  <c r="J36" i="16" s="1"/>
  <c r="X193" i="5"/>
  <c r="L36" i="16" s="1"/>
  <c r="R193" i="5"/>
  <c r="M193" i="5" l="1"/>
  <c r="O193" i="5" l="1"/>
  <c r="S193" i="5" s="1"/>
  <c r="Y193" i="5" l="1"/>
  <c r="Z193" i="5" s="1"/>
  <c r="T193" i="5"/>
  <c r="K36" i="16" s="1"/>
  <c r="J209" i="13" l="1"/>
  <c r="L194" i="5"/>
  <c r="H193" i="5"/>
  <c r="K209" i="13" l="1"/>
  <c r="J193" i="5"/>
  <c r="H36" i="16" s="1"/>
  <c r="U193" i="5" l="1"/>
  <c r="I36" i="16" s="1"/>
  <c r="W193" i="5"/>
  <c r="AA193" i="5" s="1"/>
  <c r="AC194" i="5"/>
  <c r="AD194" i="5" s="1"/>
  <c r="I209" i="13" l="1"/>
  <c r="B194" i="5"/>
  <c r="X194" i="5" l="1"/>
  <c r="G194" i="5"/>
  <c r="V194" i="5"/>
  <c r="K194" i="5"/>
  <c r="M194" i="5" s="1"/>
  <c r="O194" i="5" s="1"/>
  <c r="R194" i="5"/>
  <c r="H210" i="13"/>
  <c r="P194" i="5"/>
  <c r="Q194" i="5" s="1"/>
  <c r="S194" i="5" l="1"/>
  <c r="T194" i="5" l="1"/>
  <c r="J210" i="13" s="1"/>
  <c r="Y194" i="5"/>
  <c r="Z194" i="5" s="1"/>
  <c r="L195" i="5" l="1"/>
  <c r="H194" i="5"/>
  <c r="J194" i="5" l="1"/>
  <c r="K210" i="13"/>
  <c r="AC195" i="5" l="1"/>
  <c r="AD195" i="5" s="1"/>
  <c r="W194" i="5"/>
  <c r="AA194" i="5" s="1"/>
  <c r="U194" i="5"/>
  <c r="I210" i="13" l="1"/>
  <c r="B195" i="5"/>
  <c r="H211" i="13" l="1"/>
  <c r="P195" i="5"/>
  <c r="Q195" i="5" s="1"/>
  <c r="K195" i="5"/>
  <c r="M195" i="5" s="1"/>
  <c r="O195" i="5" s="1"/>
  <c r="R195" i="5"/>
  <c r="G195" i="5"/>
  <c r="V195" i="5"/>
  <c r="X195" i="5"/>
  <c r="S195" i="5" l="1"/>
  <c r="Y195" i="5" s="1"/>
  <c r="Z195" i="5" s="1"/>
  <c r="L196" i="5" s="1"/>
  <c r="H195" i="5" l="1"/>
  <c r="K211" i="13" s="1"/>
  <c r="T195" i="5"/>
  <c r="J211" i="13" s="1"/>
  <c r="J195" i="5" l="1"/>
  <c r="AC196" i="5" s="1"/>
  <c r="AD196" i="5" s="1"/>
  <c r="U195" i="5" l="1"/>
  <c r="I211" i="13" s="1"/>
  <c r="W195" i="5"/>
  <c r="AA195" i="5" s="1"/>
  <c r="B196" i="5" l="1"/>
  <c r="P196" i="5" s="1"/>
  <c r="Q196" i="5" s="1"/>
  <c r="R196" i="5" l="1"/>
  <c r="X196" i="5"/>
  <c r="K196" i="5"/>
  <c r="M196" i="5" s="1"/>
  <c r="O196" i="5" s="1"/>
  <c r="G196" i="5"/>
  <c r="H212" i="13"/>
  <c r="V196" i="5"/>
  <c r="S196" i="5" l="1"/>
  <c r="Y196" i="5" s="1"/>
  <c r="Z196" i="5" s="1"/>
  <c r="T196" i="5" l="1"/>
  <c r="J212" i="13" s="1"/>
  <c r="L197" i="5"/>
  <c r="H196" i="5"/>
  <c r="K212" i="13" l="1"/>
  <c r="J196" i="5"/>
  <c r="U196" i="5" l="1"/>
  <c r="AC197" i="5"/>
  <c r="AD197" i="5" s="1"/>
  <c r="W196" i="5"/>
  <c r="AA196" i="5" l="1"/>
  <c r="I212" i="13"/>
  <c r="B197" i="5"/>
  <c r="P197" i="5" l="1"/>
  <c r="Q197" i="5" s="1"/>
  <c r="R197" i="5"/>
  <c r="K197" i="5"/>
  <c r="M197" i="5" s="1"/>
  <c r="O197" i="5" s="1"/>
  <c r="G197" i="5"/>
  <c r="V197" i="5"/>
  <c r="H213" i="13"/>
  <c r="X197" i="5"/>
  <c r="S197" i="5" l="1"/>
  <c r="T197" i="5" l="1"/>
  <c r="J213" i="13" s="1"/>
  <c r="Y197" i="5"/>
  <c r="Z197" i="5" s="1"/>
  <c r="L198" i="5" l="1"/>
  <c r="H197" i="5"/>
  <c r="J197" i="5" l="1"/>
  <c r="K213" i="13"/>
  <c r="AC198" i="5" l="1"/>
  <c r="AD198" i="5" s="1"/>
  <c r="U197" i="5"/>
  <c r="W197" i="5"/>
  <c r="AA197" i="5" l="1"/>
  <c r="I213" i="13"/>
  <c r="B198" i="5"/>
  <c r="H214" i="13" l="1"/>
  <c r="R198" i="5"/>
  <c r="G198" i="5"/>
  <c r="K198" i="5"/>
  <c r="M198" i="5" s="1"/>
  <c r="O198" i="5" s="1"/>
  <c r="V198" i="5"/>
  <c r="P198" i="5"/>
  <c r="Q198" i="5" s="1"/>
  <c r="X198" i="5"/>
  <c r="S198" i="5" l="1"/>
  <c r="Y198" i="5" l="1"/>
  <c r="Z198" i="5" s="1"/>
  <c r="T198" i="5"/>
  <c r="J214" i="13" s="1"/>
  <c r="L199" i="5" l="1"/>
  <c r="H198" i="5"/>
  <c r="J198" i="5" l="1"/>
  <c r="K214" i="13"/>
  <c r="AC199" i="5" l="1"/>
  <c r="AD199" i="5" s="1"/>
  <c r="U198" i="5"/>
  <c r="W198" i="5"/>
  <c r="I214" i="13" l="1"/>
  <c r="B199" i="5"/>
  <c r="X199" i="5" s="1"/>
  <c r="AA198" i="5"/>
  <c r="V199" i="5" l="1"/>
  <c r="R199" i="5"/>
  <c r="H215" i="13"/>
  <c r="P199" i="5"/>
  <c r="Q199" i="5" s="1"/>
  <c r="K199" i="5"/>
  <c r="M199" i="5" s="1"/>
  <c r="O199" i="5" s="1"/>
  <c r="G199" i="5"/>
  <c r="S199" i="5" l="1"/>
  <c r="Y199" i="5" s="1"/>
  <c r="Z199" i="5" s="1"/>
  <c r="T199" i="5" l="1"/>
  <c r="J215" i="13" s="1"/>
  <c r="L200" i="5"/>
  <c r="H199" i="5"/>
  <c r="J199" i="5" l="1"/>
  <c r="K215" i="13"/>
  <c r="U199" i="5" l="1"/>
  <c r="AC200" i="5"/>
  <c r="AD200" i="5" s="1"/>
  <c r="O37" i="16" s="1"/>
  <c r="W199" i="5"/>
  <c r="N37" i="16" s="1"/>
  <c r="AA199" i="5" l="1"/>
  <c r="I215" i="13"/>
  <c r="B200" i="5"/>
  <c r="B37" i="16" s="1"/>
  <c r="C37" i="16" l="1"/>
  <c r="D37" i="16"/>
  <c r="K200" i="5"/>
  <c r="G200" i="5"/>
  <c r="P200" i="5"/>
  <c r="Q200" i="5" s="1"/>
  <c r="V200" i="5"/>
  <c r="J37" i="16" s="1"/>
  <c r="H216" i="13"/>
  <c r="R200" i="5"/>
  <c r="X200" i="5"/>
  <c r="L37" i="16" s="1"/>
  <c r="M200" i="5" l="1"/>
  <c r="O200" i="5" l="1"/>
  <c r="S200" i="5" s="1"/>
  <c r="Y200" i="5" l="1"/>
  <c r="Z200" i="5" s="1"/>
  <c r="T200" i="5"/>
  <c r="K37" i="16" s="1"/>
  <c r="J216" i="13" l="1"/>
  <c r="L201" i="5"/>
  <c r="H200" i="5"/>
  <c r="K216" i="13" l="1"/>
  <c r="J200" i="5"/>
  <c r="H37" i="16" s="1"/>
  <c r="AC201" i="5" l="1"/>
  <c r="AD201" i="5" s="1"/>
  <c r="U200" i="5"/>
  <c r="I37" i="16" s="1"/>
  <c r="W200" i="5"/>
  <c r="I216" i="13" l="1"/>
  <c r="B201" i="5"/>
  <c r="X201" i="5" s="1"/>
  <c r="AA200" i="5"/>
  <c r="K201" i="5" l="1"/>
  <c r="M201" i="5" s="1"/>
  <c r="O201" i="5" s="1"/>
  <c r="R201" i="5"/>
  <c r="V201" i="5"/>
  <c r="P201" i="5"/>
  <c r="Q201" i="5" s="1"/>
  <c r="H217" i="13"/>
  <c r="G201" i="5"/>
  <c r="S201" i="5" l="1"/>
  <c r="T201" i="5" l="1"/>
  <c r="J217" i="13" s="1"/>
  <c r="Y201" i="5"/>
  <c r="Z201" i="5" s="1"/>
  <c r="L202" i="5" l="1"/>
  <c r="H201" i="5"/>
  <c r="K217" i="13" l="1"/>
  <c r="J201" i="5"/>
  <c r="AC202" i="5" l="1"/>
  <c r="AD202" i="5" s="1"/>
  <c r="U201" i="5"/>
  <c r="W201" i="5"/>
  <c r="I217" i="13" l="1"/>
  <c r="B202" i="5"/>
  <c r="X202" i="5" s="1"/>
  <c r="AA201" i="5"/>
  <c r="G202" i="5" l="1"/>
  <c r="P202" i="5"/>
  <c r="Q202" i="5" s="1"/>
  <c r="V202" i="5"/>
  <c r="K202" i="5"/>
  <c r="M202" i="5" s="1"/>
  <c r="O202" i="5" s="1"/>
  <c r="H218" i="13"/>
  <c r="R202" i="5"/>
  <c r="S202" i="5" l="1"/>
  <c r="T202" i="5" l="1"/>
  <c r="J218" i="13" s="1"/>
  <c r="Y202" i="5"/>
  <c r="Z202" i="5" s="1"/>
  <c r="L203" i="5" l="1"/>
  <c r="H202" i="5"/>
  <c r="K218" i="13" l="1"/>
  <c r="J202" i="5"/>
  <c r="AC203" i="5" l="1"/>
  <c r="AD203" i="5" s="1"/>
  <c r="U202" i="5"/>
  <c r="W202" i="5"/>
  <c r="AA202" i="5" l="1"/>
  <c r="I218" i="13"/>
  <c r="B203" i="5"/>
  <c r="K203" i="5" l="1"/>
  <c r="M203" i="5" s="1"/>
  <c r="O203" i="5" s="1"/>
  <c r="G203" i="5"/>
  <c r="P203" i="5"/>
  <c r="Q203" i="5" s="1"/>
  <c r="H219" i="13"/>
  <c r="R203" i="5"/>
  <c r="V203" i="5"/>
  <c r="X203" i="5"/>
  <c r="S203" i="5" l="1"/>
  <c r="Y203" i="5" l="1"/>
  <c r="Z203" i="5" s="1"/>
  <c r="T203" i="5"/>
  <c r="J219" i="13" s="1"/>
  <c r="L204" i="5" l="1"/>
  <c r="H203" i="5"/>
  <c r="K219" i="13" l="1"/>
  <c r="J203" i="5"/>
  <c r="U203" i="5" l="1"/>
  <c r="AC204" i="5"/>
  <c r="AD204" i="5" s="1"/>
  <c r="W203" i="5"/>
  <c r="AA203" i="5" l="1"/>
  <c r="I219" i="13"/>
  <c r="B204" i="5"/>
  <c r="X204" i="5" s="1"/>
  <c r="H220" i="13" l="1"/>
  <c r="P204" i="5"/>
  <c r="Q204" i="5" s="1"/>
  <c r="V204" i="5"/>
  <c r="K204" i="5"/>
  <c r="M204" i="5" s="1"/>
  <c r="O204" i="5" s="1"/>
  <c r="G204" i="5"/>
  <c r="R204" i="5"/>
  <c r="S204" i="5" l="1"/>
  <c r="Y204" i="5" s="1"/>
  <c r="Z204" i="5" s="1"/>
  <c r="T204" i="5" l="1"/>
  <c r="J220" i="13" s="1"/>
  <c r="L205" i="5"/>
  <c r="H204" i="5"/>
  <c r="K220" i="13" l="1"/>
  <c r="J204" i="5"/>
  <c r="U204" i="5" l="1"/>
  <c r="AC205" i="5"/>
  <c r="AD205" i="5" s="1"/>
  <c r="W204" i="5"/>
  <c r="AA204" i="5" l="1"/>
  <c r="I220" i="13"/>
  <c r="B205" i="5"/>
  <c r="G205" i="5" l="1"/>
  <c r="K205" i="5"/>
  <c r="M205" i="5" s="1"/>
  <c r="O205" i="5" s="1"/>
  <c r="H221" i="13"/>
  <c r="V205" i="5"/>
  <c r="P205" i="5"/>
  <c r="Q205" i="5" s="1"/>
  <c r="R205" i="5"/>
  <c r="X205" i="5"/>
  <c r="S205" i="5" l="1"/>
  <c r="T205" i="5" l="1"/>
  <c r="J221" i="13" s="1"/>
  <c r="Y205" i="5"/>
  <c r="Z205" i="5" s="1"/>
  <c r="L206" i="5" l="1"/>
  <c r="H205" i="5"/>
  <c r="J205" i="5" l="1"/>
  <c r="K221" i="13"/>
  <c r="U205" i="5" l="1"/>
  <c r="AC206" i="5"/>
  <c r="AD206" i="5" s="1"/>
  <c r="W205" i="5"/>
  <c r="AA205" i="5" l="1"/>
  <c r="I221" i="13"/>
  <c r="B206" i="5"/>
  <c r="G206" i="5" l="1"/>
  <c r="H222" i="13"/>
  <c r="V206" i="5"/>
  <c r="R206" i="5"/>
  <c r="K206" i="5"/>
  <c r="M206" i="5" s="1"/>
  <c r="O206" i="5" s="1"/>
  <c r="P206" i="5"/>
  <c r="Q206" i="5" s="1"/>
  <c r="X206" i="5"/>
  <c r="S206" i="5" l="1"/>
  <c r="Y206" i="5" l="1"/>
  <c r="Z206" i="5" s="1"/>
  <c r="T206" i="5"/>
  <c r="J222" i="13" s="1"/>
  <c r="L207" i="5" l="1"/>
  <c r="H206" i="5"/>
  <c r="K222" i="13" l="1"/>
  <c r="J206" i="5"/>
  <c r="U206" i="5" l="1"/>
  <c r="AC207" i="5"/>
  <c r="AD207" i="5" s="1"/>
  <c r="O38" i="16" s="1"/>
  <c r="W206" i="5"/>
  <c r="N38" i="16" s="1"/>
  <c r="AA206" i="5" l="1"/>
  <c r="I222" i="13"/>
  <c r="B207" i="5"/>
  <c r="X207" i="5" l="1"/>
  <c r="L38" i="16" s="1"/>
  <c r="B38" i="16"/>
  <c r="P207" i="5"/>
  <c r="Q207" i="5" s="1"/>
  <c r="K207" i="5"/>
  <c r="V207" i="5"/>
  <c r="J38" i="16" s="1"/>
  <c r="G207" i="5"/>
  <c r="H223" i="13"/>
  <c r="R207" i="5"/>
  <c r="C38" i="16" l="1"/>
  <c r="D38" i="16"/>
  <c r="M207" i="5"/>
  <c r="O207" i="5" l="1"/>
  <c r="S207" i="5" s="1"/>
  <c r="Y207" i="5" l="1"/>
  <c r="Z207" i="5" s="1"/>
  <c r="T207" i="5"/>
  <c r="K38" i="16" s="1"/>
  <c r="J223" i="13" l="1"/>
  <c r="L208" i="5"/>
  <c r="H207" i="5"/>
  <c r="K223" i="13" l="1"/>
  <c r="J207" i="5"/>
  <c r="H38" i="16" s="1"/>
  <c r="AC208" i="5" l="1"/>
  <c r="AD208" i="5" s="1"/>
  <c r="U207" i="5"/>
  <c r="I38" i="16" s="1"/>
  <c r="W207" i="5"/>
  <c r="AA207" i="5" l="1"/>
  <c r="I223" i="13"/>
  <c r="B208" i="5"/>
  <c r="X208" i="5" l="1"/>
  <c r="H224" i="13"/>
  <c r="V208" i="5"/>
  <c r="G208" i="5"/>
  <c r="K208" i="5"/>
  <c r="M208" i="5" s="1"/>
  <c r="O208" i="5" s="1"/>
  <c r="R208" i="5"/>
  <c r="P208" i="5"/>
  <c r="Q208" i="5" s="1"/>
  <c r="S208" i="5" l="1"/>
  <c r="Y208" i="5" l="1"/>
  <c r="Z208" i="5" s="1"/>
  <c r="T208" i="5"/>
  <c r="J224" i="13" s="1"/>
  <c r="L209" i="5" l="1"/>
  <c r="H208" i="5"/>
  <c r="K224" i="13" l="1"/>
  <c r="J208" i="5"/>
  <c r="AC209" i="5" l="1"/>
  <c r="AD209" i="5" s="1"/>
  <c r="U208" i="5"/>
  <c r="W208" i="5"/>
  <c r="AA208" i="5" l="1"/>
  <c r="I224" i="13"/>
  <c r="B209" i="5"/>
  <c r="K209" i="5" l="1"/>
  <c r="M209" i="5" s="1"/>
  <c r="O209" i="5" s="1"/>
  <c r="P209" i="5"/>
  <c r="Q209" i="5" s="1"/>
  <c r="V209" i="5"/>
  <c r="G209" i="5"/>
  <c r="R209" i="5"/>
  <c r="H225" i="13"/>
  <c r="X209" i="5"/>
  <c r="S209" i="5" l="1"/>
  <c r="Y209" i="5" l="1"/>
  <c r="Z209" i="5" s="1"/>
  <c r="T209" i="5"/>
  <c r="J225" i="13" s="1"/>
  <c r="L210" i="5" l="1"/>
  <c r="H209" i="5"/>
  <c r="J209" i="5" l="1"/>
  <c r="K225" i="13"/>
  <c r="AC210" i="5" l="1"/>
  <c r="AD210" i="5" s="1"/>
  <c r="U209" i="5"/>
  <c r="W209" i="5"/>
  <c r="I225" i="13" l="1"/>
  <c r="B210" i="5"/>
  <c r="X210" i="5" s="1"/>
  <c r="AA209" i="5"/>
  <c r="R210" i="5" l="1"/>
  <c r="G210" i="5"/>
  <c r="K210" i="5"/>
  <c r="M210" i="5" s="1"/>
  <c r="O210" i="5" s="1"/>
  <c r="H226" i="13"/>
  <c r="P210" i="5"/>
  <c r="Q210" i="5" s="1"/>
  <c r="V210" i="5"/>
  <c r="S210" i="5" l="1"/>
  <c r="Y210" i="5" l="1"/>
  <c r="Z210" i="5" s="1"/>
  <c r="T210" i="5"/>
  <c r="J226" i="13" s="1"/>
  <c r="L211" i="5" l="1"/>
  <c r="H210" i="5"/>
  <c r="K226" i="13" l="1"/>
  <c r="J210" i="5"/>
  <c r="U210" i="5" l="1"/>
  <c r="AC211" i="5"/>
  <c r="AD211" i="5" s="1"/>
  <c r="W210" i="5"/>
  <c r="AA210" i="5" l="1"/>
  <c r="I226" i="13"/>
  <c r="B211" i="5"/>
  <c r="H227" i="13" l="1"/>
  <c r="K211" i="5"/>
  <c r="M211" i="5" s="1"/>
  <c r="O211" i="5" s="1"/>
  <c r="V211" i="5"/>
  <c r="G211" i="5"/>
  <c r="P211" i="5"/>
  <c r="Q211" i="5" s="1"/>
  <c r="R211" i="5"/>
  <c r="X211" i="5"/>
  <c r="S211" i="5" l="1"/>
  <c r="Y211" i="5" l="1"/>
  <c r="Z211" i="5" s="1"/>
  <c r="T211" i="5"/>
  <c r="J227" i="13" s="1"/>
  <c r="L212" i="5" l="1"/>
  <c r="H211" i="5"/>
  <c r="J211" i="5" l="1"/>
  <c r="K227" i="13"/>
  <c r="AC212" i="5" l="1"/>
  <c r="AD212" i="5" s="1"/>
  <c r="U211" i="5"/>
  <c r="W211" i="5"/>
  <c r="I227" i="13" l="1"/>
  <c r="B212" i="5"/>
  <c r="X212" i="5" s="1"/>
  <c r="AA211" i="5"/>
  <c r="K212" i="5" l="1"/>
  <c r="M212" i="5" s="1"/>
  <c r="O212" i="5" s="1"/>
  <c r="V212" i="5"/>
  <c r="R212" i="5"/>
  <c r="H228" i="13"/>
  <c r="G212" i="5"/>
  <c r="P212" i="5"/>
  <c r="Q212" i="5" s="1"/>
  <c r="H20" i="13" l="1"/>
  <c r="S212" i="5"/>
  <c r="T212" i="5" l="1"/>
  <c r="J228" i="13" s="1"/>
  <c r="Y212" i="5"/>
  <c r="Z212" i="5" s="1"/>
  <c r="J20" i="13" l="1"/>
  <c r="L213" i="5"/>
  <c r="H212" i="5"/>
  <c r="K228" i="13" l="1"/>
  <c r="J212" i="5"/>
  <c r="U212" i="5" l="1"/>
  <c r="AC213" i="5"/>
  <c r="AD213" i="5" s="1"/>
  <c r="W212" i="5"/>
  <c r="AA212" i="5" l="1"/>
  <c r="I228" i="13"/>
  <c r="B213" i="5"/>
  <c r="I20" i="13" l="1"/>
  <c r="I17" i="13"/>
  <c r="H229" i="13"/>
  <c r="V213" i="5"/>
  <c r="P213" i="5"/>
  <c r="Q213" i="5" s="1"/>
  <c r="R213" i="5"/>
  <c r="G213" i="5"/>
  <c r="K213" i="5"/>
  <c r="M213" i="5" s="1"/>
  <c r="O213" i="5" s="1"/>
  <c r="X213" i="5"/>
  <c r="S213" i="5" l="1"/>
  <c r="Y213" i="5" s="1"/>
  <c r="Z213" i="5" s="1"/>
  <c r="T213" i="5" l="1"/>
  <c r="J229" i="13" s="1"/>
  <c r="L214" i="5"/>
  <c r="H213" i="5"/>
  <c r="J213" i="5" l="1"/>
  <c r="K229" i="13"/>
  <c r="U213" i="5" l="1"/>
  <c r="AC214" i="5"/>
  <c r="AD214" i="5" s="1"/>
  <c r="O39" i="16" s="1"/>
  <c r="W213" i="5"/>
  <c r="N39" i="16" s="1"/>
  <c r="AA213" i="5" l="1"/>
  <c r="I229" i="13"/>
  <c r="B214" i="5"/>
  <c r="X214" i="5" l="1"/>
  <c r="L39" i="16" s="1"/>
  <c r="B39" i="16"/>
  <c r="P214" i="5"/>
  <c r="Q214" i="5" s="1"/>
  <c r="V214" i="5"/>
  <c r="J39" i="16" s="1"/>
  <c r="G214" i="5"/>
  <c r="H230" i="13"/>
  <c r="K214" i="5"/>
  <c r="R214" i="5"/>
  <c r="D39" i="16" l="1"/>
  <c r="C39" i="16"/>
  <c r="M214" i="5"/>
  <c r="O214" i="5" l="1"/>
  <c r="S214" i="5" s="1"/>
  <c r="Y214" i="5" l="1"/>
  <c r="Z214" i="5" s="1"/>
  <c r="T214" i="5"/>
  <c r="K39" i="16" s="1"/>
  <c r="J230" i="13" l="1"/>
  <c r="L215" i="5"/>
  <c r="H214" i="5"/>
  <c r="K230" i="13" l="1"/>
  <c r="J214" i="5"/>
  <c r="H39" i="16" s="1"/>
  <c r="U214" i="5" l="1"/>
  <c r="I39" i="16" s="1"/>
  <c r="AC215" i="5"/>
  <c r="AD215" i="5" s="1"/>
  <c r="W214" i="5"/>
  <c r="AA214" i="5" l="1"/>
  <c r="I230" i="13"/>
  <c r="B215" i="5"/>
  <c r="H231" i="13" l="1"/>
  <c r="R215" i="5"/>
  <c r="P215" i="5"/>
  <c r="Q215" i="5" s="1"/>
  <c r="G215" i="5"/>
  <c r="K215" i="5"/>
  <c r="M215" i="5" s="1"/>
  <c r="O215" i="5" s="1"/>
  <c r="V215" i="5"/>
  <c r="X215" i="5"/>
  <c r="S215" i="5" l="1"/>
  <c r="Y215" i="5" s="1"/>
  <c r="Z215" i="5" s="1"/>
  <c r="T215" i="5" l="1"/>
  <c r="J231" i="13" s="1"/>
  <c r="L216" i="5"/>
  <c r="H215" i="5"/>
  <c r="J215" i="5" l="1"/>
  <c r="K231" i="13"/>
  <c r="U215" i="5" l="1"/>
  <c r="AC216" i="5"/>
  <c r="AD216" i="5" s="1"/>
  <c r="W215" i="5"/>
  <c r="AA215" i="5" l="1"/>
  <c r="I231" i="13"/>
  <c r="B216" i="5"/>
  <c r="H232" i="13" l="1"/>
  <c r="R216" i="5"/>
  <c r="K216" i="5"/>
  <c r="M216" i="5" s="1"/>
  <c r="O216" i="5" s="1"/>
  <c r="V216" i="5"/>
  <c r="P216" i="5"/>
  <c r="Q216" i="5" s="1"/>
  <c r="G216" i="5"/>
  <c r="X216" i="5"/>
  <c r="S216" i="5" l="1"/>
  <c r="Y216" i="5" l="1"/>
  <c r="Z216" i="5" s="1"/>
  <c r="T216" i="5"/>
  <c r="J232" i="13" s="1"/>
  <c r="L217" i="5" l="1"/>
  <c r="H216" i="5"/>
  <c r="K232" i="13" l="1"/>
  <c r="J216" i="5"/>
  <c r="U216" i="5" l="1"/>
  <c r="AC217" i="5"/>
  <c r="AD217" i="5" s="1"/>
  <c r="W216" i="5"/>
  <c r="AA216" i="5" l="1"/>
  <c r="I232" i="13"/>
  <c r="B217" i="5"/>
  <c r="H233" i="13" l="1"/>
  <c r="P217" i="5"/>
  <c r="Q217" i="5" s="1"/>
  <c r="V217" i="5"/>
  <c r="R217" i="5"/>
  <c r="G217" i="5"/>
  <c r="K217" i="5"/>
  <c r="M217" i="5" s="1"/>
  <c r="O217" i="5" s="1"/>
  <c r="X217" i="5"/>
  <c r="S217" i="5" l="1"/>
  <c r="T217" i="5" s="1"/>
  <c r="J233" i="13" s="1"/>
  <c r="Y217" i="5" l="1"/>
  <c r="Z217" i="5" s="1"/>
  <c r="L218" i="5" s="1"/>
  <c r="H217" i="5" l="1"/>
  <c r="J217" i="5" s="1"/>
  <c r="K233" i="13" l="1"/>
  <c r="AC218" i="5"/>
  <c r="AD218" i="5" s="1"/>
  <c r="U217" i="5"/>
  <c r="W217" i="5"/>
  <c r="AA217" i="5" l="1"/>
  <c r="I233" i="13"/>
  <c r="B218" i="5"/>
  <c r="H234" i="13" l="1"/>
  <c r="R218" i="5"/>
  <c r="V218" i="5"/>
  <c r="P218" i="5"/>
  <c r="Q218" i="5" s="1"/>
  <c r="G218" i="5"/>
  <c r="K218" i="5"/>
  <c r="M218" i="5" s="1"/>
  <c r="O218" i="5" s="1"/>
  <c r="X218" i="5"/>
  <c r="S218" i="5" l="1"/>
  <c r="T218" i="5" s="1"/>
  <c r="J234" i="13" s="1"/>
  <c r="Y218" i="5" l="1"/>
  <c r="Z218" i="5" s="1"/>
  <c r="L219" i="5" s="1"/>
  <c r="H218" i="5" l="1"/>
  <c r="J218" i="5" s="1"/>
  <c r="K234" i="13" l="1"/>
  <c r="U218" i="5"/>
  <c r="AC219" i="5"/>
  <c r="AD219" i="5" s="1"/>
  <c r="W218" i="5"/>
  <c r="AA218" i="5" l="1"/>
  <c r="I234" i="13"/>
  <c r="B219" i="5"/>
  <c r="H235" i="13" l="1"/>
  <c r="P219" i="5"/>
  <c r="Q219" i="5" s="1"/>
  <c r="G219" i="5"/>
  <c r="K219" i="5"/>
  <c r="M219" i="5" s="1"/>
  <c r="O219" i="5" s="1"/>
  <c r="V219" i="5"/>
  <c r="R219" i="5"/>
  <c r="X219" i="5"/>
  <c r="S219" i="5" l="1"/>
  <c r="Y219" i="5" l="1"/>
  <c r="Z219" i="5" s="1"/>
  <c r="T219" i="5"/>
  <c r="J235" i="13" s="1"/>
  <c r="L220" i="5" l="1"/>
  <c r="H219" i="5"/>
  <c r="J219" i="5" l="1"/>
  <c r="K235" i="13"/>
  <c r="AC220" i="5" l="1"/>
  <c r="AD220" i="5" s="1"/>
  <c r="U219" i="5"/>
  <c r="W219" i="5"/>
  <c r="AA219" i="5" l="1"/>
  <c r="I235" i="13"/>
  <c r="B220" i="5"/>
  <c r="H236" i="13" l="1"/>
  <c r="V220" i="5"/>
  <c r="P220" i="5"/>
  <c r="Q220" i="5" s="1"/>
  <c r="K220" i="5"/>
  <c r="M220" i="5" s="1"/>
  <c r="O220" i="5" s="1"/>
  <c r="G220" i="5"/>
  <c r="R220" i="5"/>
  <c r="X220" i="5"/>
  <c r="S220" i="5" l="1"/>
  <c r="T220" i="5" l="1"/>
  <c r="J236" i="13" s="1"/>
  <c r="Y220" i="5"/>
  <c r="Z220" i="5" s="1"/>
  <c r="L221" i="5" l="1"/>
  <c r="H220" i="5"/>
  <c r="J220" i="5" l="1"/>
  <c r="K236" i="13"/>
  <c r="U220" i="5" l="1"/>
  <c r="AC221" i="5"/>
  <c r="AD221" i="5" s="1"/>
  <c r="O40" i="16" s="1"/>
  <c r="W220" i="5"/>
  <c r="N40" i="16" s="1"/>
  <c r="AA220" i="5" l="1"/>
  <c r="I236" i="13"/>
  <c r="B221" i="5"/>
  <c r="B40" i="16" s="1"/>
  <c r="C40" i="16" l="1"/>
  <c r="D40" i="16"/>
  <c r="H237" i="13"/>
  <c r="P221" i="5"/>
  <c r="Q221" i="5" s="1"/>
  <c r="V221" i="5"/>
  <c r="J40" i="16" s="1"/>
  <c r="G221" i="5"/>
  <c r="K221" i="5"/>
  <c r="M221" i="5" s="1"/>
  <c r="O221" i="5" s="1"/>
  <c r="R221" i="5"/>
  <c r="X221" i="5"/>
  <c r="L40" i="16" s="1"/>
  <c r="S221" i="5" l="1"/>
  <c r="Y221" i="5" l="1"/>
  <c r="Z221" i="5" s="1"/>
  <c r="T221" i="5"/>
  <c r="J237" i="13" l="1"/>
  <c r="K40" i="16"/>
  <c r="L222" i="5"/>
  <c r="H221" i="5"/>
  <c r="K237" i="13" l="1"/>
  <c r="J221" i="5"/>
  <c r="H40" i="16" s="1"/>
  <c r="AC222" i="5" l="1"/>
  <c r="AD222" i="5" s="1"/>
  <c r="U221" i="5"/>
  <c r="I40" i="16" s="1"/>
  <c r="W221" i="5"/>
  <c r="AA221" i="5" l="1"/>
  <c r="I237" i="13"/>
  <c r="B222" i="5"/>
  <c r="H238" i="13" l="1"/>
  <c r="H21" i="13" s="1"/>
  <c r="V222" i="5"/>
  <c r="K222" i="5"/>
  <c r="M222" i="5" s="1"/>
  <c r="O222" i="5" s="1"/>
  <c r="P222" i="5"/>
  <c r="Q222" i="5" s="1"/>
  <c r="G222" i="5"/>
  <c r="H222" i="5" s="1"/>
  <c r="R222" i="5"/>
  <c r="X222" i="5"/>
  <c r="H17" i="13" l="1"/>
  <c r="H16" i="13"/>
  <c r="S222" i="5"/>
  <c r="J222" i="5"/>
  <c r="K238" i="13"/>
  <c r="W222" i="5" l="1"/>
  <c r="AA222" i="5" s="1"/>
  <c r="T222" i="5"/>
  <c r="J238" i="13" s="1"/>
  <c r="J21" i="13" s="1"/>
  <c r="Y222" i="5"/>
  <c r="Z222" i="5" s="1"/>
  <c r="J17" i="13" l="1"/>
  <c r="J16" i="13"/>
  <c r="U222" i="5"/>
  <c r="I238" i="13" s="1"/>
  <c r="I21" i="13" s="1"/>
</calcChain>
</file>

<file path=xl/sharedStrings.xml><?xml version="1.0" encoding="utf-8"?>
<sst xmlns="http://schemas.openxmlformats.org/spreadsheetml/2006/main" count="677" uniqueCount="358">
  <si>
    <t>dag</t>
  </si>
  <si>
    <t>vægt</t>
  </si>
  <si>
    <t>ab lib</t>
  </si>
  <si>
    <t>FE/dag</t>
  </si>
  <si>
    <t>norm</t>
  </si>
  <si>
    <t>opnået</t>
  </si>
  <si>
    <t>Potentiale</t>
  </si>
  <si>
    <t>FEsv pr kg</t>
  </si>
  <si>
    <t>tilvækst</t>
  </si>
  <si>
    <t>lysin</t>
  </si>
  <si>
    <t>g pr</t>
  </si>
  <si>
    <t>Fesv</t>
  </si>
  <si>
    <t>potentiale</t>
  </si>
  <si>
    <t>gange lys</t>
  </si>
  <si>
    <t>pr kg tv</t>
  </si>
  <si>
    <t>heraf</t>
  </si>
  <si>
    <t>lysin pr</t>
  </si>
  <si>
    <t>kg tilv</t>
  </si>
  <si>
    <t>FEsv pr</t>
  </si>
  <si>
    <t xml:space="preserve">daglig </t>
  </si>
  <si>
    <t>tidl.fodr.</t>
  </si>
  <si>
    <t>DTV</t>
  </si>
  <si>
    <t>til dato</t>
  </si>
  <si>
    <t>FEsv</t>
  </si>
  <si>
    <t>start</t>
  </si>
  <si>
    <t>på dag</t>
  </si>
  <si>
    <t>slut dag</t>
  </si>
  <si>
    <t>start på dag</t>
  </si>
  <si>
    <t>korrektion</t>
  </si>
  <si>
    <t>gns</t>
  </si>
  <si>
    <t>pr kg</t>
  </si>
  <si>
    <t>mellem</t>
  </si>
  <si>
    <t>regning</t>
  </si>
  <si>
    <t xml:space="preserve">korr. </t>
  </si>
  <si>
    <t>ændret</t>
  </si>
  <si>
    <t>Dag</t>
  </si>
  <si>
    <t>FEsv pr dag</t>
  </si>
  <si>
    <t>Potentiale for foderoptag i forhold til standard</t>
  </si>
  <si>
    <t>Regneark til modellering af vækst afhængig af lysinforsyning og fodertildeling og potentiale for foderudnyttelse og foderoptag</t>
  </si>
  <si>
    <t>kg</t>
  </si>
  <si>
    <t>gns, g</t>
  </si>
  <si>
    <t>alder</t>
  </si>
  <si>
    <t>kompensation</t>
  </si>
  <si>
    <t>opstartsfunktion</t>
  </si>
  <si>
    <t>våd</t>
  </si>
  <si>
    <t>tør</t>
  </si>
  <si>
    <t>tørfoder = 1, vådfoder = 2</t>
  </si>
  <si>
    <t>aktuel</t>
  </si>
  <si>
    <t>korr.</t>
  </si>
  <si>
    <t>&lt;12 kg</t>
  </si>
  <si>
    <t>FEsv/dag</t>
  </si>
  <si>
    <t>Foderoptagelseskapacitet i forhold til standard (0,85-1,15)</t>
  </si>
  <si>
    <t>daglig</t>
  </si>
  <si>
    <t>denne dag</t>
  </si>
  <si>
    <t>denne</t>
  </si>
  <si>
    <t>dage</t>
  </si>
  <si>
    <t>Hældning</t>
  </si>
  <si>
    <t>Skæring</t>
  </si>
  <si>
    <t>uger</t>
  </si>
  <si>
    <t>kg foder</t>
  </si>
  <si>
    <t>korr</t>
  </si>
  <si>
    <t>vægtet</t>
  </si>
  <si>
    <t>energikorrektioner</t>
  </si>
  <si>
    <t>Indtastet potentiale 30-115 kg</t>
  </si>
  <si>
    <t>Indtastet potentiale 7-30</t>
  </si>
  <si>
    <t xml:space="preserve">Modelforudsætninger </t>
  </si>
  <si>
    <t>FEsv pr kg tilvækst</t>
  </si>
  <si>
    <t>"effektivt"</t>
  </si>
  <si>
    <t>formel</t>
  </si>
  <si>
    <t xml:space="preserve">min </t>
  </si>
  <si>
    <t xml:space="preserve">lysin pr </t>
  </si>
  <si>
    <t>min</t>
  </si>
  <si>
    <t xml:space="preserve">grænse </t>
  </si>
  <si>
    <t xml:space="preserve">max </t>
  </si>
  <si>
    <t>grænse</t>
  </si>
  <si>
    <t>startvægt &lt;8,5</t>
  </si>
  <si>
    <t>orig 6-8 kg</t>
  </si>
  <si>
    <t>tidligere</t>
  </si>
  <si>
    <t>methionin</t>
  </si>
  <si>
    <t>treonin</t>
  </si>
  <si>
    <t>Met +cys</t>
  </si>
  <si>
    <t>tryptofan</t>
  </si>
  <si>
    <t>isoleucin</t>
  </si>
  <si>
    <t>leucin</t>
  </si>
  <si>
    <t>histidin</t>
  </si>
  <si>
    <t>fenylalanin</t>
  </si>
  <si>
    <t>Fen+tyr</t>
  </si>
  <si>
    <t>Valin</t>
  </si>
  <si>
    <t>Protein</t>
  </si>
  <si>
    <t>fordøjeligt</t>
  </si>
  <si>
    <t>Profil %</t>
  </si>
  <si>
    <t>Korrektion af lysin</t>
  </si>
  <si>
    <t>Profil aminosyrer</t>
  </si>
  <si>
    <t>Gennemsnit</t>
  </si>
  <si>
    <t>&lt; 10 kg</t>
  </si>
  <si>
    <t>20-50 kg</t>
  </si>
  <si>
    <t>&gt;100 kg</t>
  </si>
  <si>
    <t>kr pr</t>
  </si>
  <si>
    <t>kr.</t>
  </si>
  <si>
    <t>i alt</t>
  </si>
  <si>
    <t>kr til</t>
  </si>
  <si>
    <t>sidste døgn</t>
  </si>
  <si>
    <t>FEsv pr.</t>
  </si>
  <si>
    <t>På dagen</t>
  </si>
  <si>
    <t>g/FEsv</t>
  </si>
  <si>
    <t>foderpris</t>
  </si>
  <si>
    <t>gns. til</t>
  </si>
  <si>
    <t>Potentiale foderforbrug pr. kg tilvækst 30-115 kg (2,3-3,0):</t>
  </si>
  <si>
    <t>pr. dag</t>
  </si>
  <si>
    <t xml:space="preserve">profil </t>
  </si>
  <si>
    <t>protein</t>
  </si>
  <si>
    <t>(datamangel)</t>
  </si>
  <si>
    <t>Blanding 1, navn</t>
  </si>
  <si>
    <t>Indtast ford aminosyrer og protein for de relevante blandinger og evt deres navn</t>
  </si>
  <si>
    <t>profil 100</t>
  </si>
  <si>
    <t>Profil 100</t>
  </si>
  <si>
    <t>Blanding 2, navn</t>
  </si>
  <si>
    <t>alene</t>
  </si>
  <si>
    <t>Bruges</t>
  </si>
  <si>
    <t>bruges evt.</t>
  </si>
  <si>
    <t>Blanding 3, navn</t>
  </si>
  <si>
    <t>Blanding 4, navn</t>
  </si>
  <si>
    <t>Effektivt lysin beregnes ud fra, hvor godt alle aminosyrer lever op til</t>
  </si>
  <si>
    <t>Beregnet "effektivt" lysin til indtastning</t>
  </si>
  <si>
    <t>Ford., g/FEsv</t>
  </si>
  <si>
    <t>smågriseprofilen i  normsættet i normer for næringstoffer, 2018</t>
  </si>
  <si>
    <t>kg tilvækst</t>
  </si>
  <si>
    <t>kr. pr.</t>
  </si>
  <si>
    <t>25% bedste</t>
  </si>
  <si>
    <t>landsgns</t>
  </si>
  <si>
    <t>landsgns.</t>
  </si>
  <si>
    <t>3,2-3,8</t>
  </si>
  <si>
    <t>Modelparametre som rammer ved aktuel fodring i forsøg og forventet fodring for landgns og 25% bedste</t>
  </si>
  <si>
    <t>Fodertype</t>
  </si>
  <si>
    <t>max FE/dag</t>
  </si>
  <si>
    <t>Start med beregning af effektiv lysin i faneblade dertil, smågrise (altid) og slagtegrise (ved lavprotein)</t>
  </si>
  <si>
    <t>Overskrift til case:</t>
  </si>
  <si>
    <t>lysin, g/FEsv</t>
  </si>
  <si>
    <t>hertil</t>
  </si>
  <si>
    <t>gns.</t>
  </si>
  <si>
    <t>g pr. FEsv</t>
  </si>
  <si>
    <t xml:space="preserve">FEsv pr. </t>
  </si>
  <si>
    <t>Foderpris</t>
  </si>
  <si>
    <t>energi</t>
  </si>
  <si>
    <t>Potentiale foderforbrug pr. kg tilvækst 7-30 kg (1,4-2,0):</t>
  </si>
  <si>
    <t>FEsv/kg tilv.7-30 kg</t>
  </si>
  <si>
    <t>FEsv/kg tilv.30-115 kg</t>
  </si>
  <si>
    <t>Medd.</t>
  </si>
  <si>
    <t>Smågrise</t>
  </si>
  <si>
    <t>Slagtegrise</t>
  </si>
  <si>
    <t>nederst</t>
  </si>
  <si>
    <t>regnes næppe helt korrekt</t>
  </si>
  <si>
    <t>Meget atypiske blandinger med højt protein og lavt indhold af én aminosyre</t>
  </si>
  <si>
    <t>ved datamangel</t>
  </si>
  <si>
    <t>Indtast kun i gule felter!</t>
  </si>
  <si>
    <t>Indtast kun i gule felter</t>
  </si>
  <si>
    <t>Ved denne vægt</t>
  </si>
  <si>
    <t>Gns. til denne vægt</t>
  </si>
  <si>
    <t>Overskrift:</t>
  </si>
  <si>
    <t>55 dage</t>
  </si>
  <si>
    <t>daglig tilvækst</t>
  </si>
  <si>
    <t>Foderforbrug pr kg tv</t>
  </si>
  <si>
    <t>Effektivt</t>
  </si>
  <si>
    <t>90 dag max</t>
  </si>
  <si>
    <t xml:space="preserve">FEsv pr </t>
  </si>
  <si>
    <t>effektiv t</t>
  </si>
  <si>
    <t>I alt til denne dag</t>
  </si>
  <si>
    <t>Hvis grise fx indsættes mandag kl 9, er dag 0 indtil tirsdag kl 9 og dag 7 er mandag til tirsdag ugen efter</t>
  </si>
  <si>
    <t>Foderstyrke følger ad lib funktion eller indtastet loft ved foderkurve. Skriv fx 4 FEsv ved ad lib.</t>
  </si>
  <si>
    <t>smågrisepris</t>
  </si>
  <si>
    <t>Start</t>
  </si>
  <si>
    <t>30 kg</t>
  </si>
  <si>
    <t>kr. pr. kg fra 25-30 kg:</t>
  </si>
  <si>
    <t>kr. pr. kg fra 30-40 kg:</t>
  </si>
  <si>
    <t>Der anvendes:</t>
  </si>
  <si>
    <t>Faste omkost. til medicin, varme, ventilation mm kr. pr. gris:</t>
  </si>
  <si>
    <t>pet@seges.dk</t>
  </si>
  <si>
    <t>6-8 kg</t>
  </si>
  <si>
    <t>8-14 kg</t>
  </si>
  <si>
    <t>130-138</t>
  </si>
  <si>
    <t>nr. 14</t>
  </si>
  <si>
    <t>Eksempel</t>
  </si>
  <si>
    <t>nr. 2</t>
  </si>
  <si>
    <t>137-145</t>
  </si>
  <si>
    <t xml:space="preserve">Profil </t>
  </si>
  <si>
    <t>14-30 kg</t>
  </si>
  <si>
    <t>nr. 4</t>
  </si>
  <si>
    <t>148-156</t>
  </si>
  <si>
    <t>ungsvin 30-45</t>
  </si>
  <si>
    <t>nr. 21</t>
  </si>
  <si>
    <t xml:space="preserve">"Effektivt" </t>
  </si>
  <si>
    <t>smågrise &lt; 15 kg</t>
  </si>
  <si>
    <t>smågrise &lt;15 kg</t>
  </si>
  <si>
    <t>smågrise &gt; 15 kg</t>
  </si>
  <si>
    <t>pr 10 g lysin</t>
  </si>
  <si>
    <t>nr. 22</t>
  </si>
  <si>
    <t>slagtegrise &lt; 60 kg</t>
  </si>
  <si>
    <t>slagtegrise 30-115</t>
  </si>
  <si>
    <t>nr. 31</t>
  </si>
  <si>
    <t>eksempel enheds</t>
  </si>
  <si>
    <t>lavprotein enheds</t>
  </si>
  <si>
    <t>nr. 35</t>
  </si>
  <si>
    <t>slagtegrise, 30-115</t>
  </si>
  <si>
    <t>slagtegrise &gt; 60 kg</t>
  </si>
  <si>
    <t>Indtast ford, aminosyrer og protein for de relevante blandinger og evt deres navn</t>
  </si>
  <si>
    <t>ford. lysin</t>
  </si>
  <si>
    <t>ford.</t>
  </si>
  <si>
    <t>Ved lavproteinfoder uden angivelse af ét eller flere aminosyrer kan man bruge profil</t>
  </si>
  <si>
    <t>beregnet ud fra protein som bedste bud, men dog lidt mindre sikkert</t>
  </si>
  <si>
    <t>Dette regneark er udarbejdet af Per Tybirk</t>
  </si>
  <si>
    <t>smågrise &gt; 25 kg</t>
  </si>
  <si>
    <t>Denne udskrift er kun brugbar ved startvægt over 25 kg</t>
  </si>
  <si>
    <t>Denne udskrift er kun brugbar ved startvægt 5-15 kg</t>
  </si>
  <si>
    <t>uge</t>
  </si>
  <si>
    <t>slut</t>
  </si>
  <si>
    <t>startdag</t>
  </si>
  <si>
    <t xml:space="preserve">Bruger </t>
  </si>
  <si>
    <t>Max  FEsv</t>
  </si>
  <si>
    <t>max, hvis</t>
  </si>
  <si>
    <t>ad libitum</t>
  </si>
  <si>
    <t>dag fra</t>
  </si>
  <si>
    <t>pr .dag</t>
  </si>
  <si>
    <t>ved kurve.</t>
  </si>
  <si>
    <t>Modellens</t>
  </si>
  <si>
    <t>ab libitum</t>
  </si>
  <si>
    <t>Smågriseudskrift slutter dag 63. Ved færre end 4 blandinger</t>
  </si>
  <si>
    <t>skriver man de aktulle slutdage - og gerne 63 på den sidste</t>
  </si>
  <si>
    <t>&gt; Max</t>
  </si>
  <si>
    <t xml:space="preserve">Ved ad libitum indtil  en slutfoderstyrke </t>
  </si>
  <si>
    <t>Slutfoderstyrke:</t>
  </si>
  <si>
    <t>Ad lib med skift til foderkurve: skriv "2" og brug &gt; ad lib. FEsv/dag i starten</t>
  </si>
  <si>
    <t>se evt. andre eksempler</t>
  </si>
  <si>
    <t>Ad libitum fodring skriv 1, foderkurve (vådfoder) skriv 2</t>
  </si>
  <si>
    <t>so+galt</t>
  </si>
  <si>
    <t>25% bedste smågrise</t>
  </si>
  <si>
    <t>alder ved</t>
  </si>
  <si>
    <t>Ved kurve</t>
  </si>
  <si>
    <t>indtastes</t>
  </si>
  <si>
    <t>ugentligt</t>
  </si>
  <si>
    <t xml:space="preserve">alder </t>
  </si>
  <si>
    <t>Om modellen</t>
  </si>
  <si>
    <t xml:space="preserve">Modellen er baseret på </t>
  </si>
  <si>
    <t xml:space="preserve">"effektivt lysin", som er en </t>
  </si>
  <si>
    <t>omregning til, hvor meget</t>
  </si>
  <si>
    <t>lysin blandingens indhold af</t>
  </si>
  <si>
    <t>protein og aminosyrer svarer</t>
  </si>
  <si>
    <t>til, hvis alle andre aminosyrer</t>
  </si>
  <si>
    <t>var i rigelig mængde. Der tages</t>
  </si>
  <si>
    <t>hensyn til indhold af fordøjeligt</t>
  </si>
  <si>
    <t>protein og alle essentielle</t>
  </si>
  <si>
    <t>aminosyrer. Brug af modellen,</t>
  </si>
  <si>
    <t>især til smågrise - forudsætter</t>
  </si>
  <si>
    <t>at man først har beregnet</t>
  </si>
  <si>
    <t>effektivt lysin for de anvendte</t>
  </si>
  <si>
    <t>blandinger i faneblad hertil.</t>
  </si>
  <si>
    <t>Sammenligner man effekten</t>
  </si>
  <si>
    <t>af flere foderblandinger</t>
  </si>
  <si>
    <t>bruges samme forudsætninger,</t>
  </si>
  <si>
    <t>bortset fra "effektivt lysin",</t>
  </si>
  <si>
    <t>foder.</t>
  </si>
  <si>
    <t>Modellens tal ved vægte over</t>
  </si>
  <si>
    <t>150 kg er mere usikre, da</t>
  </si>
  <si>
    <t>der ikke er forsøgsdata nok</t>
  </si>
  <si>
    <t>Potentiale foderforbrug pr. kg tilvækst 30-115 kg (2,3-2,9):</t>
  </si>
  <si>
    <t>små</t>
  </si>
  <si>
    <t>store</t>
  </si>
  <si>
    <t>vægtspredning i procent:</t>
  </si>
  <si>
    <t xml:space="preserve">spredning </t>
  </si>
  <si>
    <t>i vægt, %</t>
  </si>
  <si>
    <t>Foderoptagelse, relativ</t>
  </si>
  <si>
    <t>Foderskift dag:</t>
  </si>
  <si>
    <t>Overskrift :</t>
  </si>
  <si>
    <t>oprindelig</t>
  </si>
  <si>
    <t>i</t>
  </si>
  <si>
    <t>ny kolonne</t>
  </si>
  <si>
    <t>pr kg, 5,5-8,5</t>
  </si>
  <si>
    <t>under 5,5</t>
  </si>
  <si>
    <t>5,5-8,5</t>
  </si>
  <si>
    <t>tjekkes</t>
  </si>
  <si>
    <t>FEsv pr. kg foder og prisen på</t>
  </si>
  <si>
    <t>Foderoptagelse i forhold til standard, som er 1,0</t>
  </si>
  <si>
    <t xml:space="preserve">     Udarbejdet af</t>
  </si>
  <si>
    <t>evt max foderstyrke:</t>
  </si>
  <si>
    <t xml:space="preserve">     Per Tybirk</t>
  </si>
  <si>
    <t xml:space="preserve">    pet@seges.dk</t>
  </si>
  <si>
    <t xml:space="preserve">    46 21717736</t>
  </si>
  <si>
    <t xml:space="preserve">  vægt  10 %</t>
  </si>
  <si>
    <t xml:space="preserve">       Foder denne dag </t>
  </si>
  <si>
    <t xml:space="preserve">   Daglig tilvækst</t>
  </si>
  <si>
    <t>Indtastninger herunder er kun evt foderkurve ved restriktiv fodring !</t>
  </si>
  <si>
    <t>og dette skal i givet fald være ugentligt i kolonne G</t>
  </si>
  <si>
    <t xml:space="preserve">alene </t>
  </si>
  <si>
    <t>Eksempel ungsvin</t>
  </si>
  <si>
    <t>Herunder besætningens potentiale:</t>
  </si>
  <si>
    <t>Indtastning af data til vækstsimulering for smågrise, FRATS, slagtegrise eller polte</t>
  </si>
  <si>
    <t>Der indtastes kun i  lysegule felter</t>
  </si>
  <si>
    <t>Normalt 8-11%</t>
  </si>
  <si>
    <t>den relevante profil i normsættet i normer for næringstoffer, 2024</t>
  </si>
  <si>
    <t xml:space="preserve">Effektivt lysin beregnes ud fra, hvor godt alle aminosyrer lever op til </t>
  </si>
  <si>
    <t>Der skal tages stilling til en række forhold ved indtastning, nemlig:</t>
  </si>
  <si>
    <t>1.</t>
  </si>
  <si>
    <t xml:space="preserve">Hvor stor er foderoptagelseskapaciteten i forhold til modellens standard, som er 1,0. Dette svarer til </t>
  </si>
  <si>
    <t xml:space="preserve">smågrise. Måske spiller foderspild ind på landgennemsnitstal for foderoptag og foderforbrug – eller </t>
  </si>
  <si>
    <t>også er mange praktiske besætninger bedre til at få ædelysten op lige efter fravænning med vandtildeling,</t>
  </si>
  <si>
    <t>mælk eller lignende, som ikke bruges på Grønhøj.</t>
  </si>
  <si>
    <t>2.</t>
  </si>
  <si>
    <t xml:space="preserve">Hvad er potentialet for foderforbrug i den aktuelle besætning i smågriseperioden? Potentialet er ofte </t>
  </si>
  <si>
    <t>en smule bedre end det realiserede, fordi protein og aminosyrer er lidt begrænsende i praksis</t>
  </si>
  <si>
    <t>3.</t>
  </si>
  <si>
    <t xml:space="preserve">Hvad er potentialet for foderforbrug i den aktuelle besætning i slagtegriseperioden? Her vil der ofte </t>
  </si>
  <si>
    <t>4.</t>
  </si>
  <si>
    <t xml:space="preserve">Valg af fodertype, hvor 1 er tørfoder og 2 er vådfoder. Dette har betydning for opstartsfunktion for </t>
  </si>
  <si>
    <t xml:space="preserve">grise med en startvægt over 8,5 kg, da grisene når op på modellens foderkurve på 3 dage ved tørfoder </t>
  </si>
  <si>
    <t>og 6 dage ved vådfoder. Ved startvægt under 8,5 kg antages grisene at være nyfravænnede og har en</t>
  </si>
  <si>
    <t>speciel opstartsfunktion, som afhænger af vægt ved fravænning. (Jo mindre grise, jo mindre æder de</t>
  </si>
  <si>
    <t>i forhold til foderoptagelsesfunktion for grise, som har lært at æde)</t>
  </si>
  <si>
    <t>5.</t>
  </si>
  <si>
    <t xml:space="preserve">Foderets indhold af lysin. Foderets faktiske deklaration for lysin bruges ikke i beregningen, her bruges </t>
  </si>
  <si>
    <t xml:space="preserve">i stedet ”effektivt lysin”. Lysin medtages for at vise, hvilken blanding det er, og for at man kan se </t>
  </si>
  <si>
    <t>forskellen på lysin og ”effektivt lysin”.</t>
  </si>
  <si>
    <t>6.</t>
  </si>
  <si>
    <t xml:space="preserve">”Effektivt lysin” er det niveau af lysin, som den aktuelle blanding svarer til, hvis alle aminosyrer var i </t>
  </si>
  <si>
    <t xml:space="preserve">rigelig mængde i forhold til lysin, hvilket de ikke er i praksis i smågrisenormer efter 2019. Det beregnes </t>
  </si>
  <si>
    <t xml:space="preserve">Når man har en given blanding, skal man starte med at indtaste blandingens indhold af alle aminosyrer </t>
  </si>
  <si>
    <t>i separat faneblad for op til 4 smågriseblandinger og i et andet faneblad for op til 4 slagtegriseblandinger.</t>
  </si>
  <si>
    <t xml:space="preserve">som ikke har alle aminosyrer på udskriften – men så kan der korrigeres alene ud fra indhold af fordøjeligt </t>
  </si>
  <si>
    <t xml:space="preserve">protein, som er en rigtig god tilnærmelse i praksis med de gængse råvarer. For slagtegrisefoder vil lysin og </t>
  </si>
  <si>
    <t>fra aminosyrer, hvis data findes.</t>
  </si>
  <si>
    <t>7.</t>
  </si>
  <si>
    <t>som nogle firmaer fortsat bruger) og foderoptagelsen i FEsv korrigeres for energiindhold med sindrige formler,</t>
  </si>
  <si>
    <t>8.</t>
  </si>
  <si>
    <t>9.</t>
  </si>
  <si>
    <t>10.</t>
  </si>
  <si>
    <t>Der indtastes grisene startvægt og vægtspredning, som ofte er mellem 8 og 11%, så fx 10.</t>
  </si>
  <si>
    <t>Der kan alene indtastes data i indtastningsfaneblad og alene i gule felter.</t>
  </si>
  <si>
    <t>Forklaring på brug af vækstmodel til smågrise, slagtegrise og polte</t>
  </si>
  <si>
    <t>i op til 210 dage og med op til 7 foderblandinger</t>
  </si>
  <si>
    <t>ses af overbelægning eller for lidt ædeplads eller dårlig sundhed. Landsgennemsnittet er nærmere 0,95</t>
  </si>
  <si>
    <r>
      <t xml:space="preserve">foderoptagelse i de bedste slagtesvinebesætninger, fx som i medd. 1276 (slutfoderstyrke), som </t>
    </r>
    <r>
      <rPr>
        <i/>
        <sz val="10"/>
        <color theme="1"/>
        <rFont val="Arial"/>
        <family val="2"/>
      </rPr>
      <t xml:space="preserve">ikke </t>
    </r>
    <r>
      <rPr>
        <sz val="10"/>
        <color theme="1"/>
        <rFont val="Arial"/>
        <family val="2"/>
      </rPr>
      <t xml:space="preserve">begræn- </t>
    </r>
  </si>
  <si>
    <t xml:space="preserve">For smågrise er foderoptagelsen højere end 1,00 i landsgennemsnitstal, men mindre i SEGES´ </t>
  </si>
  <si>
    <t xml:space="preserve">egne forsøg, så ved 1,00 rammer modellen midt mellem Grønhøj og de 25% bedste for foderoptagelse hos </t>
  </si>
  <si>
    <t>men modellen vil ikke ramme potentialet, hvis man tester effekt af underforsyning.</t>
  </si>
  <si>
    <t>kun være lille forskel på indtastet potentiale og opnået foderforbrug, fordi lysin ikke er så begrænsende,</t>
  </si>
  <si>
    <t xml:space="preserve">og protein, og ud fra både aminosyrer og protein beregnes ”effektivt lysin”. I praksis er der mange blandinger, </t>
  </si>
  <si>
    <t xml:space="preserve">"effektivt lysin" ofte være ens – og hvis en given blanding overholder minimum for fordøjeligt protein til det aktu- </t>
  </si>
  <si>
    <t xml:space="preserve">elle normsæt, kan man ofte blot bruge lysinindhold som ”effektivt lysin” – men det er en god idé at tjekke ud </t>
  </si>
  <si>
    <t>Der indtastes FEsv pr. kg for de enkelte foderblandinger (kontrollerbare FEsv og ikke enzymfoderenheder</t>
  </si>
  <si>
    <t>hvor smågrises foderoptagelse er mere påvirkelig af FEsv pr. kg end store slagtegrises foderoptagelse i FEsv.</t>
  </si>
  <si>
    <t>den laveste foderstyrke fra indtastet foderkurve, ad libitum optagelse eller indtastet max foderstyrke</t>
  </si>
  <si>
    <t>11.</t>
  </si>
  <si>
    <r>
      <t xml:space="preserve">Der </t>
    </r>
    <r>
      <rPr>
        <sz val="10"/>
        <color rgb="FFFF0000"/>
        <rFont val="Arial"/>
        <family val="2"/>
      </rPr>
      <t xml:space="preserve">skal </t>
    </r>
    <r>
      <rPr>
        <sz val="10"/>
        <color theme="1"/>
        <rFont val="Arial"/>
        <family val="2"/>
      </rPr>
      <t xml:space="preserve">indtastes maximal foderoptagelse, som bruges til en evt. vådfoderkurve. Ved tørfoder ad libitum </t>
    </r>
    <r>
      <rPr>
        <sz val="10"/>
        <color rgb="FFFF0000"/>
        <rFont val="Arial"/>
        <family val="2"/>
      </rPr>
      <t>skal</t>
    </r>
    <r>
      <rPr>
        <sz val="10"/>
        <color theme="1"/>
        <rFont val="Arial"/>
        <family val="2"/>
      </rPr>
      <t xml:space="preserve"> </t>
    </r>
  </si>
  <si>
    <t xml:space="preserve">man skrive 5,0, så vælges ad lib optagelse, hvis denne er under 5,0. Ved lavere slutfoderstyrke end 5,0 vælges </t>
  </si>
  <si>
    <t>Udskrift fra modellering af  vækst hver 7. dag i op til 30 uger = 210 dage. Versioner med daglige udskrifter under udvikling</t>
  </si>
  <si>
    <t>Tips: udskriften bliver pænere, hvis slutdato for sidste foderblanding er  mindst 210 dage</t>
  </si>
  <si>
    <t>ellers har udskrfiten underlige tegn efter sidste blandingskift, da der ikke kan beregnes værdier</t>
  </si>
  <si>
    <t>Der indtastes foderpris for de enkelte blandinger, hvis man vil have beregnet den samlede foderomkostning.</t>
  </si>
  <si>
    <t>Det er planen, at der udvikles mere detaljerede udskrifter tilpasset smågrise henholdsvis slagtegrise</t>
  </si>
  <si>
    <t>Eksempel på fodring af polte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</si>
</sst>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9.9978637043366805E-2"/>
      <name val="Calibri"/>
      <family val="2"/>
      <scheme val="minor"/>
    </font>
    <font>
      <b/>
      <sz val="12"/>
      <color theme="3" tint="9.9978637043366805E-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3" tint="9.9978637043366805E-2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0FEB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4FEF9"/>
        <bgColor indexed="64"/>
      </patternFill>
    </fill>
    <fill>
      <patternFill patternType="solid">
        <fgColor rgb="FFC4F8DC"/>
        <bgColor indexed="64"/>
      </patternFill>
    </fill>
    <fill>
      <patternFill patternType="solid">
        <fgColor rgb="FFE9FDF2"/>
        <bgColor indexed="64"/>
      </patternFill>
    </fill>
    <fill>
      <patternFill patternType="solid">
        <fgColor rgb="FF317339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5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2" borderId="0" xfId="0" applyFill="1"/>
    <xf numFmtId="0" fontId="4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4" borderId="0" xfId="0" applyNumberFormat="1" applyFill="1"/>
    <xf numFmtId="0" fontId="0" fillId="10" borderId="0" xfId="0" applyFill="1"/>
    <xf numFmtId="0" fontId="0" fillId="11" borderId="0" xfId="0" applyFill="1"/>
    <xf numFmtId="0" fontId="0" fillId="9" borderId="0" xfId="0" applyFill="1" applyAlignment="1">
      <alignment horizontal="center"/>
    </xf>
    <xf numFmtId="2" fontId="0" fillId="13" borderId="0" xfId="0" applyNumberFormat="1" applyFill="1"/>
    <xf numFmtId="2" fontId="0" fillId="13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3" fillId="14" borderId="0" xfId="0" applyFont="1" applyFill="1"/>
    <xf numFmtId="0" fontId="0" fillId="15" borderId="0" xfId="0" applyFill="1" applyAlignment="1">
      <alignment horizontal="center"/>
    </xf>
    <xf numFmtId="164" fontId="4" fillId="13" borderId="0" xfId="0" applyNumberFormat="1" applyFont="1" applyFill="1" applyAlignment="1">
      <alignment horizontal="center"/>
    </xf>
    <xf numFmtId="2" fontId="4" fillId="14" borderId="0" xfId="0" applyNumberFormat="1" applyFont="1" applyFill="1" applyAlignment="1">
      <alignment horizontal="center"/>
    </xf>
    <xf numFmtId="2" fontId="4" fillId="15" borderId="0" xfId="0" applyNumberFormat="1" applyFont="1" applyFill="1" applyAlignment="1">
      <alignment horizontal="center"/>
    </xf>
    <xf numFmtId="164" fontId="4" fillId="13" borderId="0" xfId="0" applyNumberFormat="1" applyFont="1" applyFill="1"/>
    <xf numFmtId="2" fontId="5" fillId="14" borderId="0" xfId="0" applyNumberFormat="1" applyFont="1" applyFill="1"/>
    <xf numFmtId="2" fontId="4" fillId="14" borderId="0" xfId="0" applyNumberFormat="1" applyFont="1" applyFill="1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17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4" borderId="0" xfId="0" applyFill="1" applyProtection="1">
      <protection hidden="1"/>
    </xf>
    <xf numFmtId="0" fontId="1" fillId="0" borderId="0" xfId="0" applyFont="1" applyProtection="1">
      <protection hidden="1"/>
    </xf>
    <xf numFmtId="2" fontId="0" fillId="4" borderId="0" xfId="0" applyNumberFormat="1" applyFill="1" applyProtection="1">
      <protection hidden="1"/>
    </xf>
    <xf numFmtId="0" fontId="0" fillId="6" borderId="0" xfId="0" applyFill="1" applyProtection="1">
      <protection hidden="1"/>
    </xf>
    <xf numFmtId="0" fontId="0" fillId="16" borderId="0" xfId="0" applyFill="1" applyProtection="1">
      <protection hidden="1"/>
    </xf>
    <xf numFmtId="0" fontId="0" fillId="12" borderId="0" xfId="0" applyFill="1" applyProtection="1">
      <protection hidden="1"/>
    </xf>
    <xf numFmtId="0" fontId="0" fillId="3" borderId="0" xfId="0" applyFill="1" applyProtection="1">
      <protection hidden="1"/>
    </xf>
    <xf numFmtId="2" fontId="0" fillId="5" borderId="0" xfId="0" applyNumberFormat="1" applyFill="1" applyProtection="1">
      <protection hidden="1"/>
    </xf>
    <xf numFmtId="2" fontId="0" fillId="3" borderId="0" xfId="0" applyNumberFormat="1" applyFill="1" applyProtection="1">
      <protection hidden="1"/>
    </xf>
    <xf numFmtId="164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164" fontId="0" fillId="3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1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164" fontId="0" fillId="2" borderId="0" xfId="0" applyNumberFormat="1" applyFill="1" applyProtection="1">
      <protection hidden="1"/>
    </xf>
    <xf numFmtId="0" fontId="0" fillId="10" borderId="0" xfId="0" applyFill="1" applyProtection="1">
      <protection hidden="1"/>
    </xf>
    <xf numFmtId="165" fontId="0" fillId="3" borderId="0" xfId="0" applyNumberFormat="1" applyFill="1" applyProtection="1">
      <protection hidden="1"/>
    </xf>
    <xf numFmtId="1" fontId="4" fillId="3" borderId="0" xfId="0" applyNumberFormat="1" applyFont="1" applyFill="1" applyProtection="1">
      <protection hidden="1"/>
    </xf>
    <xf numFmtId="164" fontId="0" fillId="13" borderId="0" xfId="0" applyNumberFormat="1" applyFill="1" applyProtection="1">
      <protection hidden="1"/>
    </xf>
    <xf numFmtId="1" fontId="0" fillId="3" borderId="0" xfId="0" applyNumberFormat="1" applyFill="1" applyProtection="1">
      <protection hidden="1"/>
    </xf>
    <xf numFmtId="0" fontId="0" fillId="15" borderId="0" xfId="0" applyFill="1"/>
    <xf numFmtId="0" fontId="0" fillId="17" borderId="0" xfId="0" applyFill="1"/>
    <xf numFmtId="0" fontId="9" fillId="17" borderId="0" xfId="0" applyFont="1" applyFill="1"/>
    <xf numFmtId="164" fontId="0" fillId="0" borderId="0" xfId="0" applyNumberFormat="1" applyAlignment="1">
      <alignment horizontal="center"/>
    </xf>
    <xf numFmtId="2" fontId="0" fillId="9" borderId="0" xfId="0" applyNumberFormat="1" applyFill="1" applyAlignment="1">
      <alignment horizontal="center"/>
    </xf>
    <xf numFmtId="164" fontId="0" fillId="9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center"/>
    </xf>
    <xf numFmtId="164" fontId="0" fillId="10" borderId="0" xfId="0" applyNumberFormat="1" applyFill="1" applyAlignment="1">
      <alignment horizontal="center"/>
    </xf>
    <xf numFmtId="2" fontId="4" fillId="9" borderId="0" xfId="0" applyNumberFormat="1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8" borderId="0" xfId="0" applyFill="1"/>
    <xf numFmtId="1" fontId="0" fillId="9" borderId="0" xfId="0" applyNumberFormat="1" applyFill="1" applyAlignment="1">
      <alignment horizontal="center"/>
    </xf>
    <xf numFmtId="1" fontId="0" fillId="10" borderId="0" xfId="0" applyNumberFormat="1" applyFill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19" borderId="0" xfId="0" applyFill="1"/>
    <xf numFmtId="0" fontId="13" fillId="19" borderId="0" xfId="0" applyFont="1" applyFill="1"/>
    <xf numFmtId="0" fontId="12" fillId="20" borderId="0" xfId="0" applyFont="1" applyFill="1"/>
    <xf numFmtId="0" fontId="0" fillId="20" borderId="0" xfId="0" applyFill="1"/>
    <xf numFmtId="0" fontId="14" fillId="19" borderId="0" xfId="0" applyFont="1" applyFill="1"/>
    <xf numFmtId="0" fontId="0" fillId="0" borderId="0" xfId="0" applyAlignment="1" applyProtection="1">
      <alignment horizontal="center"/>
      <protection locked="0"/>
    </xf>
    <xf numFmtId="2" fontId="3" fillId="0" borderId="0" xfId="0" applyNumberFormat="1" applyFont="1" applyProtection="1">
      <protection hidden="1"/>
    </xf>
    <xf numFmtId="0" fontId="16" fillId="20" borderId="0" xfId="0" applyFont="1" applyFill="1"/>
    <xf numFmtId="0" fontId="10" fillId="0" borderId="0" xfId="1" applyFill="1"/>
    <xf numFmtId="0" fontId="17" fillId="19" borderId="0" xfId="1" applyFont="1" applyFill="1"/>
    <xf numFmtId="0" fontId="0" fillId="13" borderId="0" xfId="0" applyFill="1"/>
    <xf numFmtId="0" fontId="4" fillId="19" borderId="0" xfId="0" applyFont="1" applyFill="1"/>
    <xf numFmtId="0" fontId="12" fillId="20" borderId="0" xfId="0" applyFont="1" applyFill="1" applyAlignment="1">
      <alignment horizontal="center"/>
    </xf>
    <xf numFmtId="2" fontId="12" fillId="20" borderId="0" xfId="0" applyNumberFormat="1" applyFont="1" applyFill="1" applyAlignment="1">
      <alignment horizontal="center"/>
    </xf>
    <xf numFmtId="0" fontId="0" fillId="13" borderId="0" xfId="0" applyFill="1" applyAlignment="1">
      <alignment horizontal="center"/>
    </xf>
    <xf numFmtId="0" fontId="12" fillId="21" borderId="0" xfId="0" applyFont="1" applyFill="1"/>
    <xf numFmtId="2" fontId="16" fillId="21" borderId="0" xfId="0" applyNumberFormat="1" applyFont="1" applyFill="1" applyAlignment="1">
      <alignment horizontal="center"/>
    </xf>
    <xf numFmtId="0" fontId="12" fillId="21" borderId="0" xfId="0" applyFont="1" applyFill="1" applyAlignment="1">
      <alignment horizontal="center"/>
    </xf>
    <xf numFmtId="0" fontId="17" fillId="19" borderId="0" xfId="1" applyFont="1" applyFill="1" applyProtection="1"/>
    <xf numFmtId="165" fontId="13" fillId="19" borderId="0" xfId="0" applyNumberFormat="1" applyFont="1" applyFill="1"/>
    <xf numFmtId="0" fontId="4" fillId="13" borderId="0" xfId="0" applyFont="1" applyFill="1"/>
    <xf numFmtId="0" fontId="0" fillId="13" borderId="0" xfId="0" applyFill="1" applyAlignment="1">
      <alignment horizontal="right"/>
    </xf>
    <xf numFmtId="0" fontId="3" fillId="4" borderId="0" xfId="0" applyFont="1" applyFill="1"/>
    <xf numFmtId="0" fontId="5" fillId="4" borderId="0" xfId="0" applyFont="1" applyFill="1"/>
    <xf numFmtId="0" fontId="3" fillId="4" borderId="0" xfId="0" applyFont="1" applyFill="1" applyAlignment="1">
      <alignment horizontal="center"/>
    </xf>
    <xf numFmtId="1" fontId="3" fillId="4" borderId="0" xfId="0" applyNumberFormat="1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right"/>
    </xf>
    <xf numFmtId="0" fontId="5" fillId="2" borderId="0" xfId="0" applyFont="1" applyFill="1"/>
    <xf numFmtId="0" fontId="0" fillId="22" borderId="0" xfId="0" applyFill="1" applyProtection="1">
      <protection locked="0"/>
    </xf>
    <xf numFmtId="2" fontId="0" fillId="22" borderId="0" xfId="0" applyNumberFormat="1" applyFill="1" applyAlignment="1" applyProtection="1">
      <alignment horizontal="center"/>
      <protection locked="0"/>
    </xf>
    <xf numFmtId="0" fontId="0" fillId="22" borderId="0" xfId="0" applyFill="1" applyAlignment="1" applyProtection="1">
      <alignment horizontal="center"/>
      <protection locked="0"/>
    </xf>
    <xf numFmtId="0" fontId="0" fillId="13" borderId="0" xfId="0" applyFill="1" applyAlignment="1">
      <alignment horizontal="left"/>
    </xf>
    <xf numFmtId="0" fontId="18" fillId="20" borderId="0" xfId="0" applyFont="1" applyFill="1"/>
    <xf numFmtId="0" fontId="15" fillId="19" borderId="0" xfId="1" applyFont="1" applyFill="1" applyProtection="1"/>
    <xf numFmtId="0" fontId="3" fillId="0" borderId="0" xfId="0" applyFont="1"/>
    <xf numFmtId="0" fontId="3" fillId="13" borderId="0" xfId="0" applyFont="1" applyFill="1" applyAlignment="1">
      <alignment horizontal="center"/>
    </xf>
    <xf numFmtId="0" fontId="3" fillId="13" borderId="0" xfId="0" applyFont="1" applyFill="1"/>
    <xf numFmtId="2" fontId="3" fillId="0" borderId="0" xfId="0" applyNumberFormat="1" applyFont="1" applyAlignment="1">
      <alignment horizontal="center"/>
    </xf>
    <xf numFmtId="0" fontId="12" fillId="23" borderId="0" xfId="0" applyFont="1" applyFill="1"/>
    <xf numFmtId="1" fontId="0" fillId="13" borderId="0" xfId="0" applyNumberFormat="1" applyFill="1" applyAlignment="1">
      <alignment horizontal="center"/>
    </xf>
    <xf numFmtId="2" fontId="3" fillId="13" borderId="0" xfId="0" applyNumberFormat="1" applyFont="1" applyFill="1" applyAlignment="1">
      <alignment horizontal="center"/>
    </xf>
    <xf numFmtId="0" fontId="0" fillId="23" borderId="0" xfId="0" applyFill="1"/>
    <xf numFmtId="0" fontId="0" fillId="22" borderId="0" xfId="0" applyFill="1"/>
    <xf numFmtId="0" fontId="12" fillId="20" borderId="0" xfId="0" applyFont="1" applyFill="1" applyAlignment="1">
      <alignment horizontal="left"/>
    </xf>
    <xf numFmtId="2" fontId="4" fillId="22" borderId="0" xfId="0" applyNumberFormat="1" applyFont="1" applyFill="1" applyAlignment="1" applyProtection="1">
      <alignment horizontal="center"/>
      <protection locked="0"/>
    </xf>
    <xf numFmtId="0" fontId="20" fillId="13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/>
    <xf numFmtId="1" fontId="10" fillId="19" borderId="0" xfId="1" applyNumberFormat="1" applyFill="1" applyAlignment="1">
      <alignment horizontal="left"/>
    </xf>
    <xf numFmtId="0" fontId="12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0" fontId="5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4" fillId="0" borderId="0" xfId="0" applyFont="1"/>
    <xf numFmtId="0" fontId="17" fillId="0" borderId="0" xfId="1" applyFont="1" applyFill="1" applyProtection="1"/>
    <xf numFmtId="165" fontId="13" fillId="0" borderId="0" xfId="0" applyNumberFormat="1" applyFont="1"/>
    <xf numFmtId="1" fontId="10" fillId="0" borderId="0" xfId="1" applyNumberFormat="1" applyFill="1" applyAlignment="1">
      <alignment horizontal="left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6" fillId="0" borderId="0" xfId="0" applyFont="1"/>
    <xf numFmtId="1" fontId="3" fillId="0" borderId="0" xfId="0" applyNumberFormat="1" applyFont="1" applyAlignment="1">
      <alignment horizontal="center"/>
    </xf>
    <xf numFmtId="165" fontId="0" fillId="1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20" fillId="0" borderId="0" xfId="0" applyFont="1" applyProtection="1">
      <protection hidden="1"/>
    </xf>
    <xf numFmtId="0" fontId="0" fillId="24" borderId="0" xfId="0" applyFill="1"/>
    <xf numFmtId="0" fontId="0" fillId="24" borderId="0" xfId="0" applyFill="1" applyAlignment="1">
      <alignment horizontal="right"/>
    </xf>
    <xf numFmtId="0" fontId="0" fillId="24" borderId="0" xfId="0" applyFill="1" applyAlignment="1">
      <alignment horizontal="left"/>
    </xf>
    <xf numFmtId="2" fontId="0" fillId="24" borderId="0" xfId="0" applyNumberFormat="1" applyFill="1" applyAlignment="1">
      <alignment horizontal="left"/>
    </xf>
    <xf numFmtId="0" fontId="0" fillId="24" borderId="0" xfId="0" applyFill="1" applyAlignment="1">
      <alignment horizontal="center"/>
    </xf>
    <xf numFmtId="0" fontId="3" fillId="25" borderId="0" xfId="0" applyFont="1" applyFill="1"/>
    <xf numFmtId="0" fontId="3" fillId="25" borderId="0" xfId="0" applyFont="1" applyFill="1" applyAlignment="1">
      <alignment horizontal="center"/>
    </xf>
    <xf numFmtId="0" fontId="0" fillId="26" borderId="0" xfId="0" applyFill="1"/>
    <xf numFmtId="2" fontId="0" fillId="26" borderId="0" xfId="0" applyNumberFormat="1" applyFill="1" applyAlignment="1">
      <alignment horizontal="center"/>
    </xf>
    <xf numFmtId="0" fontId="0" fillId="26" borderId="0" xfId="0" applyFill="1" applyAlignment="1">
      <alignment horizontal="center"/>
    </xf>
    <xf numFmtId="0" fontId="11" fillId="27" borderId="0" xfId="0" applyFont="1" applyFill="1"/>
    <xf numFmtId="0" fontId="12" fillId="27" borderId="0" xfId="0" applyFont="1" applyFill="1"/>
    <xf numFmtId="0" fontId="0" fillId="27" borderId="0" xfId="0" applyFill="1"/>
    <xf numFmtId="0" fontId="12" fillId="27" borderId="0" xfId="0" applyFont="1" applyFill="1" applyAlignment="1">
      <alignment horizontal="center"/>
    </xf>
    <xf numFmtId="0" fontId="16" fillId="27" borderId="0" xfId="0" applyFont="1" applyFill="1"/>
    <xf numFmtId="0" fontId="13" fillId="0" borderId="0" xfId="0" applyFont="1"/>
    <xf numFmtId="0" fontId="15" fillId="0" borderId="0" xfId="1" applyFont="1" applyFill="1" applyProtection="1"/>
    <xf numFmtId="0" fontId="13" fillId="27" borderId="0" xfId="0" applyFont="1" applyFill="1"/>
    <xf numFmtId="0" fontId="12" fillId="13" borderId="0" xfId="0" applyFont="1" applyFill="1"/>
    <xf numFmtId="0" fontId="12" fillId="13" borderId="0" xfId="0" applyFont="1" applyFill="1" applyAlignment="1">
      <alignment horizontal="center"/>
    </xf>
    <xf numFmtId="2" fontId="3" fillId="13" borderId="0" xfId="0" applyNumberFormat="1" applyFont="1" applyFill="1" applyAlignment="1">
      <alignment horizontal="left"/>
    </xf>
    <xf numFmtId="2" fontId="3" fillId="13" borderId="0" xfId="0" applyNumberFormat="1" applyFont="1" applyFill="1"/>
    <xf numFmtId="0" fontId="22" fillId="27" borderId="0" xfId="0" applyFont="1" applyFill="1"/>
    <xf numFmtId="0" fontId="23" fillId="27" borderId="0" xfId="0" applyFont="1" applyFill="1"/>
    <xf numFmtId="0" fontId="4" fillId="24" borderId="0" xfId="0" applyFont="1" applyFill="1"/>
    <xf numFmtId="0" fontId="6" fillId="13" borderId="0" xfId="0" applyFont="1" applyFill="1"/>
    <xf numFmtId="0" fontId="21" fillId="13" borderId="0" xfId="0" applyFont="1" applyFill="1"/>
    <xf numFmtId="0" fontId="3" fillId="24" borderId="0" xfId="0" applyFont="1" applyFill="1"/>
    <xf numFmtId="0" fontId="19" fillId="24" borderId="0" xfId="0" applyFont="1" applyFill="1" applyAlignment="1">
      <alignment horizontal="center"/>
    </xf>
    <xf numFmtId="0" fontId="3" fillId="13" borderId="0" xfId="0" applyFont="1" applyFill="1" applyAlignment="1">
      <alignment horizontal="left"/>
    </xf>
    <xf numFmtId="0" fontId="20" fillId="24" borderId="0" xfId="0" applyFont="1" applyFill="1"/>
    <xf numFmtId="2" fontId="0" fillId="13" borderId="0" xfId="0" applyNumberFormat="1" applyFill="1" applyAlignment="1">
      <alignment horizontal="left"/>
    </xf>
    <xf numFmtId="0" fontId="24" fillId="27" borderId="0" xfId="0" applyFont="1" applyFill="1"/>
    <xf numFmtId="0" fontId="7" fillId="20" borderId="0" xfId="0" applyFont="1" applyFill="1"/>
    <xf numFmtId="0" fontId="18" fillId="13" borderId="0" xfId="0" applyFont="1" applyFill="1"/>
    <xf numFmtId="0" fontId="0" fillId="20" borderId="0" xfId="0" applyFill="1" applyAlignment="1">
      <alignment horizontal="left"/>
    </xf>
    <xf numFmtId="0" fontId="13" fillId="20" borderId="0" xfId="0" applyFont="1" applyFill="1"/>
    <xf numFmtId="0" fontId="7" fillId="13" borderId="0" xfId="0" applyFont="1" applyFill="1"/>
    <xf numFmtId="0" fontId="11" fillId="20" borderId="0" xfId="0" applyFont="1" applyFill="1"/>
    <xf numFmtId="0" fontId="26" fillId="19" borderId="0" xfId="1" applyFont="1" applyFill="1" applyProtection="1"/>
    <xf numFmtId="0" fontId="14" fillId="13" borderId="0" xfId="0" applyFont="1" applyFill="1"/>
    <xf numFmtId="0" fontId="3" fillId="20" borderId="0" xfId="0" applyFont="1" applyFill="1" applyAlignment="1">
      <alignment horizontal="center"/>
    </xf>
    <xf numFmtId="0" fontId="3" fillId="20" borderId="0" xfId="0" applyFont="1" applyFill="1"/>
    <xf numFmtId="0" fontId="14" fillId="20" borderId="0" xfId="0" applyFont="1" applyFill="1"/>
    <xf numFmtId="2" fontId="0" fillId="26" borderId="0" xfId="0" applyNumberFormat="1" applyFill="1" applyAlignment="1">
      <alignment horizontal="left"/>
    </xf>
    <xf numFmtId="0" fontId="3" fillId="25" borderId="0" xfId="0" applyFont="1" applyFill="1" applyAlignment="1">
      <alignment horizontal="left"/>
    </xf>
    <xf numFmtId="0" fontId="7" fillId="0" borderId="0" xfId="0" applyFont="1"/>
    <xf numFmtId="0" fontId="14" fillId="26" borderId="0" xfId="0" applyFont="1" applyFill="1"/>
    <xf numFmtId="0" fontId="0" fillId="4" borderId="0" xfId="0" applyFill="1"/>
    <xf numFmtId="0" fontId="3" fillId="22" borderId="0" xfId="0" applyFont="1" applyFill="1" applyAlignment="1" applyProtection="1">
      <alignment horizontal="left"/>
      <protection locked="0"/>
    </xf>
    <xf numFmtId="2" fontId="0" fillId="22" borderId="0" xfId="0" applyNumberFormat="1" applyFill="1" applyProtection="1">
      <protection locked="0"/>
    </xf>
    <xf numFmtId="0" fontId="0" fillId="14" borderId="0" xfId="0" applyFill="1" applyAlignment="1">
      <alignment horizontal="center"/>
    </xf>
    <xf numFmtId="2" fontId="0" fillId="14" borderId="0" xfId="0" applyNumberFormat="1" applyFill="1" applyAlignment="1">
      <alignment horizontal="center"/>
    </xf>
    <xf numFmtId="164" fontId="4" fillId="14" borderId="0" xfId="0" applyNumberFormat="1" applyFont="1" applyFill="1" applyAlignment="1">
      <alignment horizontal="center"/>
    </xf>
    <xf numFmtId="0" fontId="12" fillId="20" borderId="0" xfId="0" applyFont="1" applyFill="1" applyAlignment="1" applyProtection="1">
      <alignment horizontal="center"/>
      <protection locked="0"/>
    </xf>
    <xf numFmtId="0" fontId="12" fillId="2" borderId="0" xfId="0" applyFont="1" applyFill="1"/>
    <xf numFmtId="0" fontId="6" fillId="0" borderId="0" xfId="0" applyFont="1"/>
    <xf numFmtId="0" fontId="4" fillId="22" borderId="0" xfId="0" applyFont="1" applyFill="1"/>
    <xf numFmtId="0" fontId="0" fillId="22" borderId="0" xfId="0" applyFill="1" applyAlignment="1">
      <alignment horizontal="center"/>
    </xf>
    <xf numFmtId="0" fontId="12" fillId="28" borderId="0" xfId="0" applyFont="1" applyFill="1"/>
    <xf numFmtId="0" fontId="0" fillId="28" borderId="0" xfId="0" applyFill="1"/>
    <xf numFmtId="0" fontId="25" fillId="0" borderId="0" xfId="0" applyFont="1"/>
    <xf numFmtId="0" fontId="25" fillId="22" borderId="0" xfId="0" applyFont="1" applyFill="1"/>
    <xf numFmtId="0" fontId="1" fillId="13" borderId="0" xfId="0" applyFont="1" applyFill="1"/>
    <xf numFmtId="0" fontId="1" fillId="4" borderId="0" xfId="0" applyFont="1" applyFill="1"/>
    <xf numFmtId="0" fontId="1" fillId="1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2" fontId="13" fillId="22" borderId="0" xfId="0" applyNumberFormat="1" applyFont="1" applyFill="1" applyAlignment="1" applyProtection="1">
      <alignment horizontal="center"/>
      <protection locked="0"/>
    </xf>
  </cellXfs>
  <cellStyles count="2">
    <cellStyle name="Link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E9FDF2"/>
      <color rgb="FF317339"/>
      <color rgb="FFF4FEF9"/>
      <color rgb="FFC4F8DC"/>
      <color rgb="FF000000"/>
      <color rgb="FFB7F7D4"/>
      <color rgb="FFE1FFE2"/>
      <color rgb="FF40744A"/>
      <color rgb="FF79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Udvikling i daglig tilvækst i op til 63 dage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6509546940149378"/>
          <c:y val="0.14539365838621804"/>
          <c:w val="0.79064521597479109"/>
          <c:h val="0.696534938310020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'hjælpeark smågrisefigur'!$E$3</c:f>
              <c:strCache>
                <c:ptCount val="1"/>
                <c:pt idx="0">
                  <c:v>Ved denne vægt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'hjælpeark smågrisefigur'!$B$4:$B$67</c:f>
              <c:numCache>
                <c:formatCode>0.00</c:formatCode>
                <c:ptCount val="64"/>
                <c:pt idx="0">
                  <c:v>6.3</c:v>
                </c:pt>
                <c:pt idx="1">
                  <c:v>6.3206278300663863</c:v>
                </c:pt>
                <c:pt idx="2">
                  <c:v>6.3514322064530626</c:v>
                </c:pt>
                <c:pt idx="3">
                  <c:v>6.3941110577711662</c:v>
                </c:pt>
                <c:pt idx="4">
                  <c:v>6.457564692611605</c:v>
                </c:pt>
                <c:pt idx="5">
                  <c:v>6.5456133084444037</c:v>
                </c:pt>
                <c:pt idx="6">
                  <c:v>6.6590894969892798</c:v>
                </c:pt>
                <c:pt idx="7">
                  <c:v>6.7977716795967984</c:v>
                </c:pt>
                <c:pt idx="8">
                  <c:v>6.963984295861966</c:v>
                </c:pt>
                <c:pt idx="9">
                  <c:v>7.1565300214105543</c:v>
                </c:pt>
                <c:pt idx="10">
                  <c:v>7.3725338045353004</c:v>
                </c:pt>
                <c:pt idx="11">
                  <c:v>7.6177788478407287</c:v>
                </c:pt>
                <c:pt idx="12">
                  <c:v>7.8846496849033603</c:v>
                </c:pt>
                <c:pt idx="13">
                  <c:v>8.1696129903164465</c:v>
                </c:pt>
                <c:pt idx="14">
                  <c:v>8.4708088852503245</c:v>
                </c:pt>
                <c:pt idx="15">
                  <c:v>8.7776816057795877</c:v>
                </c:pt>
                <c:pt idx="16">
                  <c:v>9.0954379102605714</c:v>
                </c:pt>
                <c:pt idx="17">
                  <c:v>9.4244228585023571</c:v>
                </c:pt>
                <c:pt idx="18">
                  <c:v>9.7649887278225496</c:v>
                </c:pt>
                <c:pt idx="19">
                  <c:v>10.117261866673147</c:v>
                </c:pt>
                <c:pt idx="20">
                  <c:v>10.481690258564813</c:v>
                </c:pt>
                <c:pt idx="21">
                  <c:v>10.858613161131505</c:v>
                </c:pt>
                <c:pt idx="22">
                  <c:v>11.248921574623724</c:v>
                </c:pt>
                <c:pt idx="23">
                  <c:v>11.652778860825631</c:v>
                </c:pt>
                <c:pt idx="24">
                  <c:v>12.070599391235149</c:v>
                </c:pt>
                <c:pt idx="25">
                  <c:v>12.502514441003569</c:v>
                </c:pt>
                <c:pt idx="26">
                  <c:v>12.949225193474508</c:v>
                </c:pt>
                <c:pt idx="27">
                  <c:v>13.41179644143004</c:v>
                </c:pt>
                <c:pt idx="28">
                  <c:v>13.889112315694801</c:v>
                </c:pt>
                <c:pt idx="29">
                  <c:v>14.386117634630963</c:v>
                </c:pt>
                <c:pt idx="30">
                  <c:v>14.898889807546123</c:v>
                </c:pt>
                <c:pt idx="31">
                  <c:v>15.427760237975965</c:v>
                </c:pt>
                <c:pt idx="32">
                  <c:v>15.972759706039081</c:v>
                </c:pt>
                <c:pt idx="33">
                  <c:v>16.534222681663476</c:v>
                </c:pt>
                <c:pt idx="34">
                  <c:v>17.112480715547019</c:v>
                </c:pt>
                <c:pt idx="35">
                  <c:v>17.707861794111949</c:v>
                </c:pt>
                <c:pt idx="36">
                  <c:v>18.320689671047663</c:v>
                </c:pt>
                <c:pt idx="37">
                  <c:v>18.951283177248282</c:v>
                </c:pt>
                <c:pt idx="38">
                  <c:v>19.599955511064881</c:v>
                </c:pt>
                <c:pt idx="39">
                  <c:v>20.267013510918158</c:v>
                </c:pt>
                <c:pt idx="40">
                  <c:v>20.952264443228536</c:v>
                </c:pt>
                <c:pt idx="41">
                  <c:v>21.655169654576376</c:v>
                </c:pt>
                <c:pt idx="42">
                  <c:v>22.375875836858516</c:v>
                </c:pt>
                <c:pt idx="43">
                  <c:v>23.121975369093406</c:v>
                </c:pt>
                <c:pt idx="44">
                  <c:v>23.886493066946855</c:v>
                </c:pt>
                <c:pt idx="45">
                  <c:v>24.669531007949168</c:v>
                </c:pt>
                <c:pt idx="46">
                  <c:v>25.471173506445819</c:v>
                </c:pt>
                <c:pt idx="47">
                  <c:v>26.291486580483422</c:v>
                </c:pt>
                <c:pt idx="48">
                  <c:v>27.130517466900123</c:v>
                </c:pt>
                <c:pt idx="49">
                  <c:v>27.988294187932272</c:v>
                </c:pt>
                <c:pt idx="50">
                  <c:v>28.848355455948898</c:v>
                </c:pt>
                <c:pt idx="51">
                  <c:v>29.703133917582701</c:v>
                </c:pt>
                <c:pt idx="52">
                  <c:v>30.552706630019642</c:v>
                </c:pt>
                <c:pt idx="53">
                  <c:v>31.300809897630778</c:v>
                </c:pt>
                <c:pt idx="54">
                  <c:v>32.04863765602947</c:v>
                </c:pt>
                <c:pt idx="55">
                  <c:v>32.790732309066911</c:v>
                </c:pt>
                <c:pt idx="56">
                  <c:v>33.530119867997485</c:v>
                </c:pt>
                <c:pt idx="57">
                  <c:v>34.266814513172214</c:v>
                </c:pt>
                <c:pt idx="58">
                  <c:v>35.014826133824734</c:v>
                </c:pt>
                <c:pt idx="59">
                  <c:v>35.774011471225286</c:v>
                </c:pt>
                <c:pt idx="60">
                  <c:v>36.54422724784996</c:v>
                </c:pt>
                <c:pt idx="61">
                  <c:v>37.325330253773345</c:v>
                </c:pt>
                <c:pt idx="62">
                  <c:v>38.117177429393294</c:v>
                </c:pt>
                <c:pt idx="63">
                  <c:v>38.919625944553339</c:v>
                </c:pt>
              </c:numCache>
            </c:numRef>
          </c:xVal>
          <c:yVal>
            <c:numRef>
              <c:f>'hjælpeark smågrisefigur'!$E$4:$E$67</c:f>
              <c:numCache>
                <c:formatCode>0</c:formatCode>
                <c:ptCount val="64"/>
                <c:pt idx="0">
                  <c:v>20.62783006638621</c:v>
                </c:pt>
                <c:pt idx="1">
                  <c:v>30.804376386676292</c:v>
                </c:pt>
                <c:pt idx="2">
                  <c:v>42.678851318103661</c:v>
                </c:pt>
                <c:pt idx="3">
                  <c:v>63.453634840438752</c:v>
                </c:pt>
                <c:pt idx="4">
                  <c:v>88.048615832798475</c:v>
                </c:pt>
                <c:pt idx="5">
                  <c:v>113.47618854487609</c:v>
                </c:pt>
                <c:pt idx="6">
                  <c:v>138.68218260751866</c:v>
                </c:pt>
                <c:pt idx="7">
                  <c:v>166.21261626516787</c:v>
                </c:pt>
                <c:pt idx="8">
                  <c:v>192.54572554858836</c:v>
                </c:pt>
                <c:pt idx="9">
                  <c:v>216.00378312474646</c:v>
                </c:pt>
                <c:pt idx="10">
                  <c:v>245.24504330542874</c:v>
                </c:pt>
                <c:pt idx="11">
                  <c:v>266.87083706263172</c:v>
                </c:pt>
                <c:pt idx="12">
                  <c:v>284.96330541308669</c:v>
                </c:pt>
                <c:pt idx="13">
                  <c:v>301.19589493387883</c:v>
                </c:pt>
                <c:pt idx="14">
                  <c:v>306.87272052926352</c:v>
                </c:pt>
                <c:pt idx="15">
                  <c:v>317.75630448098292</c:v>
                </c:pt>
                <c:pt idx="16">
                  <c:v>328.9849482417855</c:v>
                </c:pt>
                <c:pt idx="17">
                  <c:v>340.56586932019303</c:v>
                </c:pt>
                <c:pt idx="18">
                  <c:v>352.27313885059647</c:v>
                </c:pt>
                <c:pt idx="19">
                  <c:v>364.42839189166568</c:v>
                </c:pt>
                <c:pt idx="20">
                  <c:v>376.92290256669213</c:v>
                </c:pt>
                <c:pt idx="21">
                  <c:v>390.30841349221856</c:v>
                </c:pt>
                <c:pt idx="22">
                  <c:v>403.85728620190781</c:v>
                </c:pt>
                <c:pt idx="23">
                  <c:v>417.82053040951843</c:v>
                </c:pt>
                <c:pt idx="24">
                  <c:v>431.91504976841969</c:v>
                </c:pt>
                <c:pt idx="25">
                  <c:v>446.71075247093756</c:v>
                </c:pt>
                <c:pt idx="26">
                  <c:v>462.57124795553159</c:v>
                </c:pt>
                <c:pt idx="27">
                  <c:v>477.3158742647617</c:v>
                </c:pt>
                <c:pt idx="28">
                  <c:v>497.00531893616323</c:v>
                </c:pt>
                <c:pt idx="29">
                  <c:v>512.77217291516047</c:v>
                </c:pt>
                <c:pt idx="30">
                  <c:v>528.8704304298418</c:v>
                </c:pt>
                <c:pt idx="31">
                  <c:v>544.9994680631163</c:v>
                </c:pt>
                <c:pt idx="32">
                  <c:v>561.4629756243952</c:v>
                </c:pt>
                <c:pt idx="33">
                  <c:v>578.25803388354302</c:v>
                </c:pt>
                <c:pt idx="34">
                  <c:v>595.38107856493116</c:v>
                </c:pt>
                <c:pt idx="35">
                  <c:v>612.82787693571345</c:v>
                </c:pt>
                <c:pt idx="36">
                  <c:v>630.59350620061821</c:v>
                </c:pt>
                <c:pt idx="37">
                  <c:v>648.67233381660037</c:v>
                </c:pt>
                <c:pt idx="38">
                  <c:v>667.05799985327667</c:v>
                </c:pt>
                <c:pt idx="39">
                  <c:v>685.25093231037897</c:v>
                </c:pt>
                <c:pt idx="40">
                  <c:v>702.90521134783967</c:v>
                </c:pt>
                <c:pt idx="41">
                  <c:v>720.70618228213971</c:v>
                </c:pt>
                <c:pt idx="42">
                  <c:v>746.09953223488935</c:v>
                </c:pt>
                <c:pt idx="43">
                  <c:v>764.51769785344914</c:v>
                </c:pt>
                <c:pt idx="44">
                  <c:v>783.03794100231187</c:v>
                </c:pt>
                <c:pt idx="45">
                  <c:v>801.64249849664975</c:v>
                </c:pt>
                <c:pt idx="46">
                  <c:v>820.31307403760309</c:v>
                </c:pt>
                <c:pt idx="47">
                  <c:v>839.03088641669956</c:v>
                </c:pt>
                <c:pt idx="48">
                  <c:v>857.77672103215014</c:v>
                </c:pt>
                <c:pt idx="49">
                  <c:v>860.06126801662583</c:v>
                </c:pt>
                <c:pt idx="50">
                  <c:v>854.77846163380218</c:v>
                </c:pt>
                <c:pt idx="51">
                  <c:v>849.57271243694049</c:v>
                </c:pt>
                <c:pt idx="52">
                  <c:v>748.10326761113652</c:v>
                </c:pt>
                <c:pt idx="53">
                  <c:v>747.82775839869589</c:v>
                </c:pt>
                <c:pt idx="54">
                  <c:v>742.09465303743832</c:v>
                </c:pt>
                <c:pt idx="55">
                  <c:v>739.38755893057214</c:v>
                </c:pt>
                <c:pt idx="56">
                  <c:v>736.69464517472636</c:v>
                </c:pt>
                <c:pt idx="57">
                  <c:v>748.01162065251765</c:v>
                </c:pt>
                <c:pt idx="58">
                  <c:v>759.18533740055182</c:v>
                </c:pt>
                <c:pt idx="59">
                  <c:v>770.21577662467064</c:v>
                </c:pt>
                <c:pt idx="60">
                  <c:v>781.1030059233816</c:v>
                </c:pt>
                <c:pt idx="61">
                  <c:v>791.84717561994671</c:v>
                </c:pt>
                <c:pt idx="62">
                  <c:v>802.44851516004155</c:v>
                </c:pt>
                <c:pt idx="63">
                  <c:v>812.81170467023026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DE-4FB0-A757-598A80DCB622}"/>
            </c:ext>
          </c:extLst>
        </c:ser>
        <c:ser>
          <c:idx val="1"/>
          <c:order val="1"/>
          <c:tx>
            <c:strRef>
              <c:f>'hjælpeark smågrisefigur'!$F$3</c:f>
              <c:strCache>
                <c:ptCount val="1"/>
                <c:pt idx="0">
                  <c:v>Gns. til denne vægt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'hjælpeark smågrisefigur'!$B$4:$B$67</c:f>
              <c:numCache>
                <c:formatCode>0.00</c:formatCode>
                <c:ptCount val="64"/>
                <c:pt idx="0">
                  <c:v>6.3</c:v>
                </c:pt>
                <c:pt idx="1">
                  <c:v>6.3206278300663863</c:v>
                </c:pt>
                <c:pt idx="2">
                  <c:v>6.3514322064530626</c:v>
                </c:pt>
                <c:pt idx="3">
                  <c:v>6.3941110577711662</c:v>
                </c:pt>
                <c:pt idx="4">
                  <c:v>6.457564692611605</c:v>
                </c:pt>
                <c:pt idx="5">
                  <c:v>6.5456133084444037</c:v>
                </c:pt>
                <c:pt idx="6">
                  <c:v>6.6590894969892798</c:v>
                </c:pt>
                <c:pt idx="7">
                  <c:v>6.7977716795967984</c:v>
                </c:pt>
                <c:pt idx="8">
                  <c:v>6.963984295861966</c:v>
                </c:pt>
                <c:pt idx="9">
                  <c:v>7.1565300214105543</c:v>
                </c:pt>
                <c:pt idx="10">
                  <c:v>7.3725338045353004</c:v>
                </c:pt>
                <c:pt idx="11">
                  <c:v>7.6177788478407287</c:v>
                </c:pt>
                <c:pt idx="12">
                  <c:v>7.8846496849033603</c:v>
                </c:pt>
                <c:pt idx="13">
                  <c:v>8.1696129903164465</c:v>
                </c:pt>
                <c:pt idx="14">
                  <c:v>8.4708088852503245</c:v>
                </c:pt>
                <c:pt idx="15">
                  <c:v>8.7776816057795877</c:v>
                </c:pt>
                <c:pt idx="16">
                  <c:v>9.0954379102605714</c:v>
                </c:pt>
                <c:pt idx="17">
                  <c:v>9.4244228585023571</c:v>
                </c:pt>
                <c:pt idx="18">
                  <c:v>9.7649887278225496</c:v>
                </c:pt>
                <c:pt idx="19">
                  <c:v>10.117261866673147</c:v>
                </c:pt>
                <c:pt idx="20">
                  <c:v>10.481690258564813</c:v>
                </c:pt>
                <c:pt idx="21">
                  <c:v>10.858613161131505</c:v>
                </c:pt>
                <c:pt idx="22">
                  <c:v>11.248921574623724</c:v>
                </c:pt>
                <c:pt idx="23">
                  <c:v>11.652778860825631</c:v>
                </c:pt>
                <c:pt idx="24">
                  <c:v>12.070599391235149</c:v>
                </c:pt>
                <c:pt idx="25">
                  <c:v>12.502514441003569</c:v>
                </c:pt>
                <c:pt idx="26">
                  <c:v>12.949225193474508</c:v>
                </c:pt>
                <c:pt idx="27">
                  <c:v>13.41179644143004</c:v>
                </c:pt>
                <c:pt idx="28">
                  <c:v>13.889112315694801</c:v>
                </c:pt>
                <c:pt idx="29">
                  <c:v>14.386117634630963</c:v>
                </c:pt>
                <c:pt idx="30">
                  <c:v>14.898889807546123</c:v>
                </c:pt>
                <c:pt idx="31">
                  <c:v>15.427760237975965</c:v>
                </c:pt>
                <c:pt idx="32">
                  <c:v>15.972759706039081</c:v>
                </c:pt>
                <c:pt idx="33">
                  <c:v>16.534222681663476</c:v>
                </c:pt>
                <c:pt idx="34">
                  <c:v>17.112480715547019</c:v>
                </c:pt>
                <c:pt idx="35">
                  <c:v>17.707861794111949</c:v>
                </c:pt>
                <c:pt idx="36">
                  <c:v>18.320689671047663</c:v>
                </c:pt>
                <c:pt idx="37">
                  <c:v>18.951283177248282</c:v>
                </c:pt>
                <c:pt idx="38">
                  <c:v>19.599955511064881</c:v>
                </c:pt>
                <c:pt idx="39">
                  <c:v>20.267013510918158</c:v>
                </c:pt>
                <c:pt idx="40">
                  <c:v>20.952264443228536</c:v>
                </c:pt>
                <c:pt idx="41">
                  <c:v>21.655169654576376</c:v>
                </c:pt>
                <c:pt idx="42">
                  <c:v>22.375875836858516</c:v>
                </c:pt>
                <c:pt idx="43">
                  <c:v>23.121975369093406</c:v>
                </c:pt>
                <c:pt idx="44">
                  <c:v>23.886493066946855</c:v>
                </c:pt>
                <c:pt idx="45">
                  <c:v>24.669531007949168</c:v>
                </c:pt>
                <c:pt idx="46">
                  <c:v>25.471173506445819</c:v>
                </c:pt>
                <c:pt idx="47">
                  <c:v>26.291486580483422</c:v>
                </c:pt>
                <c:pt idx="48">
                  <c:v>27.130517466900123</c:v>
                </c:pt>
                <c:pt idx="49">
                  <c:v>27.988294187932272</c:v>
                </c:pt>
                <c:pt idx="50">
                  <c:v>28.848355455948898</c:v>
                </c:pt>
                <c:pt idx="51">
                  <c:v>29.703133917582701</c:v>
                </c:pt>
                <c:pt idx="52">
                  <c:v>30.552706630019642</c:v>
                </c:pt>
                <c:pt idx="53">
                  <c:v>31.300809897630778</c:v>
                </c:pt>
                <c:pt idx="54">
                  <c:v>32.04863765602947</c:v>
                </c:pt>
                <c:pt idx="55">
                  <c:v>32.790732309066911</c:v>
                </c:pt>
                <c:pt idx="56">
                  <c:v>33.530119867997485</c:v>
                </c:pt>
                <c:pt idx="57">
                  <c:v>34.266814513172214</c:v>
                </c:pt>
                <c:pt idx="58">
                  <c:v>35.014826133824734</c:v>
                </c:pt>
                <c:pt idx="59">
                  <c:v>35.774011471225286</c:v>
                </c:pt>
                <c:pt idx="60">
                  <c:v>36.54422724784996</c:v>
                </c:pt>
                <c:pt idx="61">
                  <c:v>37.325330253773345</c:v>
                </c:pt>
                <c:pt idx="62">
                  <c:v>38.117177429393294</c:v>
                </c:pt>
                <c:pt idx="63">
                  <c:v>38.919625944553339</c:v>
                </c:pt>
              </c:numCache>
            </c:numRef>
          </c:xVal>
          <c:yVal>
            <c:numRef>
              <c:f>'hjælpeark smågrisefigur'!$F$4:$F$67</c:f>
              <c:numCache>
                <c:formatCode>0</c:formatCode>
                <c:ptCount val="64"/>
                <c:pt idx="1">
                  <c:v>20.627830066386466</c:v>
                </c:pt>
                <c:pt idx="2">
                  <c:v>25.716103226531395</c:v>
                </c:pt>
                <c:pt idx="3">
                  <c:v>31.370352590388784</c:v>
                </c:pt>
                <c:pt idx="4">
                  <c:v>39.391173152901303</c:v>
                </c:pt>
                <c:pt idx="5">
                  <c:v>49.122661688880775</c:v>
                </c:pt>
                <c:pt idx="6">
                  <c:v>59.84824949821332</c:v>
                </c:pt>
                <c:pt idx="7">
                  <c:v>71.110239942399801</c:v>
                </c:pt>
                <c:pt idx="8">
                  <c:v>82.998036982745774</c:v>
                </c:pt>
                <c:pt idx="9">
                  <c:v>95.1700023789505</c:v>
                </c:pt>
                <c:pt idx="10">
                  <c:v>107.25338045353006</c:v>
                </c:pt>
                <c:pt idx="11">
                  <c:v>119.79807707642989</c:v>
                </c:pt>
                <c:pt idx="12">
                  <c:v>132.05414040861339</c:v>
                </c:pt>
                <c:pt idx="13">
                  <c:v>143.81638387049588</c:v>
                </c:pt>
                <c:pt idx="14">
                  <c:v>155.05777751788034</c:v>
                </c:pt>
                <c:pt idx="15">
                  <c:v>165.17877371863918</c:v>
                </c:pt>
                <c:pt idx="16">
                  <c:v>174.71486939128573</c:v>
                </c:pt>
                <c:pt idx="17">
                  <c:v>183.78957991190336</c:v>
                </c:pt>
                <c:pt idx="18">
                  <c:v>192.49937376791942</c:v>
                </c:pt>
                <c:pt idx="19">
                  <c:v>200.90851929858667</c:v>
                </c:pt>
                <c:pt idx="20">
                  <c:v>209.08451292824066</c:v>
                </c:pt>
                <c:pt idx="21">
                  <c:v>217.07681719673832</c:v>
                </c:pt>
                <c:pt idx="22">
                  <c:v>224.95098066471473</c:v>
                </c:pt>
                <c:pt idx="23">
                  <c:v>232.7295156880709</c:v>
                </c:pt>
                <c:pt idx="24">
                  <c:v>240.44164130146453</c:v>
                </c:pt>
                <c:pt idx="25">
                  <c:v>248.1005776401428</c:v>
                </c:pt>
                <c:pt idx="26">
                  <c:v>255.73943051825032</c:v>
                </c:pt>
                <c:pt idx="27">
                  <c:v>263.39986820111261</c:v>
                </c:pt>
                <c:pt idx="28">
                  <c:v>271.03972556052861</c:v>
                </c:pt>
                <c:pt idx="29">
                  <c:v>278.83164257348147</c:v>
                </c:pt>
                <c:pt idx="30">
                  <c:v>286.62966025153742</c:v>
                </c:pt>
                <c:pt idx="31">
                  <c:v>294.44387864438602</c:v>
                </c:pt>
                <c:pt idx="32">
                  <c:v>302.27374081372125</c:v>
                </c:pt>
                <c:pt idx="33">
                  <c:v>310.12796005040832</c:v>
                </c:pt>
                <c:pt idx="34">
                  <c:v>318.01413869255936</c:v>
                </c:pt>
                <c:pt idx="35">
                  <c:v>325.93890840319852</c:v>
                </c:pt>
                <c:pt idx="36">
                  <c:v>333.90804641799065</c:v>
                </c:pt>
                <c:pt idx="37">
                  <c:v>341.92657235806166</c:v>
                </c:pt>
                <c:pt idx="38">
                  <c:v>349.99882923854949</c:v>
                </c:pt>
                <c:pt idx="39">
                  <c:v>358.12855156200402</c:v>
                </c:pt>
                <c:pt idx="40">
                  <c:v>366.30661108071337</c:v>
                </c:pt>
                <c:pt idx="41">
                  <c:v>374.51633303844818</c:v>
                </c:pt>
                <c:pt idx="42">
                  <c:v>382.75894849663126</c:v>
                </c:pt>
                <c:pt idx="43">
                  <c:v>391.20872951380011</c:v>
                </c:pt>
                <c:pt idx="44">
                  <c:v>399.69302424879214</c:v>
                </c:pt>
                <c:pt idx="45">
                  <c:v>408.21180017664813</c:v>
                </c:pt>
                <c:pt idx="46">
                  <c:v>416.76464144447431</c:v>
                </c:pt>
                <c:pt idx="47">
                  <c:v>425.35077830815794</c:v>
                </c:pt>
                <c:pt idx="48">
                  <c:v>433.96911389375254</c:v>
                </c:pt>
                <c:pt idx="49">
                  <c:v>442.6182487333117</c:v>
                </c:pt>
                <c:pt idx="50">
                  <c:v>450.96710911897799</c:v>
                </c:pt>
                <c:pt idx="51">
                  <c:v>458.88497877613139</c:v>
                </c:pt>
                <c:pt idx="52">
                  <c:v>466.39820442345462</c:v>
                </c:pt>
                <c:pt idx="53">
                  <c:v>471.71339429492031</c:v>
                </c:pt>
                <c:pt idx="54">
                  <c:v>476.82662325980499</c:v>
                </c:pt>
                <c:pt idx="55">
                  <c:v>481.64967834667112</c:v>
                </c:pt>
                <c:pt idx="56">
                  <c:v>486.25214049995509</c:v>
                </c:pt>
                <c:pt idx="57">
                  <c:v>490.64586865214409</c:v>
                </c:pt>
                <c:pt idx="58">
                  <c:v>495.08320920387473</c:v>
                </c:pt>
                <c:pt idx="59">
                  <c:v>499.55951646144553</c:v>
                </c:pt>
                <c:pt idx="60">
                  <c:v>504.07045413083262</c:v>
                </c:pt>
                <c:pt idx="61">
                  <c:v>508.61197137333346</c:v>
                </c:pt>
                <c:pt idx="62">
                  <c:v>513.18028111924662</c:v>
                </c:pt>
                <c:pt idx="63">
                  <c:v>517.77184038973553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DE-4FB0-A757-598A80DCB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9008495"/>
        <c:axId val="1309007535"/>
      </c:scatterChart>
      <c:valAx>
        <c:axId val="1309008495"/>
        <c:scaling>
          <c:orientation val="minMax"/>
          <c:max val="40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vægt, kg</a:t>
                </a:r>
              </a:p>
            </c:rich>
          </c:tx>
          <c:layout>
            <c:manualLayout>
              <c:xMode val="edge"/>
              <c:yMode val="edge"/>
              <c:x val="0.82117796426644907"/>
              <c:y val="0.914170037449772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309007535"/>
        <c:crosses val="autoZero"/>
        <c:crossBetween val="midCat"/>
        <c:majorUnit val="5"/>
      </c:valAx>
      <c:valAx>
        <c:axId val="130900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Daglig tilvækst, gram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309008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50525174298373"/>
          <c:y val="0.28874911380894902"/>
          <c:w val="0.29349474825701638"/>
          <c:h val="0.2355234075463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Udvikling i foderforbrug i 63 dage</a:t>
            </a:r>
          </a:p>
        </c:rich>
      </c:tx>
      <c:layout>
        <c:manualLayout>
          <c:xMode val="edge"/>
          <c:yMode val="edge"/>
          <c:x val="0.2704564269615562"/>
          <c:y val="2.5022341376228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6279680664916885"/>
          <c:y val="0.12855319358538628"/>
          <c:w val="0.79155315730989906"/>
          <c:h val="0.7180722382892487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'hjælpeark smågrisefigur'!$H$3</c:f>
              <c:strCache>
                <c:ptCount val="1"/>
                <c:pt idx="0">
                  <c:v>Ved denne vægt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'hjælpeark smågrisefigur'!$G$4:$G$67</c:f>
              <c:numCache>
                <c:formatCode>0.00</c:formatCode>
                <c:ptCount val="64"/>
                <c:pt idx="0">
                  <c:v>6.3</c:v>
                </c:pt>
                <c:pt idx="1">
                  <c:v>6.3206278300663863</c:v>
                </c:pt>
                <c:pt idx="2">
                  <c:v>6.3514322064530626</c:v>
                </c:pt>
                <c:pt idx="3">
                  <c:v>6.3941110577711662</c:v>
                </c:pt>
                <c:pt idx="4">
                  <c:v>6.457564692611605</c:v>
                </c:pt>
                <c:pt idx="5">
                  <c:v>6.5456133084444037</c:v>
                </c:pt>
                <c:pt idx="6">
                  <c:v>6.6590894969892798</c:v>
                </c:pt>
                <c:pt idx="7">
                  <c:v>6.7977716795967984</c:v>
                </c:pt>
                <c:pt idx="8">
                  <c:v>6.963984295861966</c:v>
                </c:pt>
                <c:pt idx="9">
                  <c:v>7.1565300214105543</c:v>
                </c:pt>
                <c:pt idx="10">
                  <c:v>7.3725338045353004</c:v>
                </c:pt>
                <c:pt idx="11">
                  <c:v>7.6177788478407287</c:v>
                </c:pt>
                <c:pt idx="12">
                  <c:v>7.8846496849033603</c:v>
                </c:pt>
                <c:pt idx="13">
                  <c:v>8.1696129903164465</c:v>
                </c:pt>
                <c:pt idx="14">
                  <c:v>8.4708088852503245</c:v>
                </c:pt>
                <c:pt idx="15">
                  <c:v>8.7776816057795877</c:v>
                </c:pt>
                <c:pt idx="16">
                  <c:v>9.0954379102605714</c:v>
                </c:pt>
                <c:pt idx="17">
                  <c:v>9.4244228585023571</c:v>
                </c:pt>
                <c:pt idx="18">
                  <c:v>9.7649887278225496</c:v>
                </c:pt>
                <c:pt idx="19">
                  <c:v>10.117261866673147</c:v>
                </c:pt>
                <c:pt idx="20">
                  <c:v>10.481690258564813</c:v>
                </c:pt>
                <c:pt idx="21">
                  <c:v>10.858613161131505</c:v>
                </c:pt>
                <c:pt idx="22">
                  <c:v>11.248921574623724</c:v>
                </c:pt>
                <c:pt idx="23">
                  <c:v>11.652778860825631</c:v>
                </c:pt>
                <c:pt idx="24">
                  <c:v>12.070599391235149</c:v>
                </c:pt>
                <c:pt idx="25">
                  <c:v>12.502514441003569</c:v>
                </c:pt>
                <c:pt idx="26">
                  <c:v>12.949225193474508</c:v>
                </c:pt>
                <c:pt idx="27">
                  <c:v>13.41179644143004</c:v>
                </c:pt>
                <c:pt idx="28">
                  <c:v>13.889112315694801</c:v>
                </c:pt>
                <c:pt idx="29">
                  <c:v>14.386117634630963</c:v>
                </c:pt>
                <c:pt idx="30">
                  <c:v>14.898889807546123</c:v>
                </c:pt>
                <c:pt idx="31">
                  <c:v>15.427760237975965</c:v>
                </c:pt>
                <c:pt idx="32">
                  <c:v>15.972759706039081</c:v>
                </c:pt>
                <c:pt idx="33">
                  <c:v>16.534222681663476</c:v>
                </c:pt>
                <c:pt idx="34">
                  <c:v>17.112480715547019</c:v>
                </c:pt>
                <c:pt idx="35">
                  <c:v>17.707861794111949</c:v>
                </c:pt>
                <c:pt idx="36">
                  <c:v>18.320689671047663</c:v>
                </c:pt>
                <c:pt idx="37">
                  <c:v>18.951283177248282</c:v>
                </c:pt>
                <c:pt idx="38">
                  <c:v>19.599955511064881</c:v>
                </c:pt>
                <c:pt idx="39">
                  <c:v>20.267013510918158</c:v>
                </c:pt>
                <c:pt idx="40">
                  <c:v>20.952264443228536</c:v>
                </c:pt>
                <c:pt idx="41">
                  <c:v>21.655169654576376</c:v>
                </c:pt>
                <c:pt idx="42">
                  <c:v>22.375875836858516</c:v>
                </c:pt>
                <c:pt idx="43">
                  <c:v>23.121975369093406</c:v>
                </c:pt>
                <c:pt idx="44">
                  <c:v>23.886493066946855</c:v>
                </c:pt>
                <c:pt idx="45">
                  <c:v>24.669531007949168</c:v>
                </c:pt>
                <c:pt idx="46">
                  <c:v>25.471173506445819</c:v>
                </c:pt>
                <c:pt idx="47">
                  <c:v>26.291486580483422</c:v>
                </c:pt>
                <c:pt idx="48">
                  <c:v>27.130517466900123</c:v>
                </c:pt>
                <c:pt idx="49">
                  <c:v>27.988294187932272</c:v>
                </c:pt>
                <c:pt idx="50">
                  <c:v>28.848355455948898</c:v>
                </c:pt>
                <c:pt idx="51">
                  <c:v>29.703133917582701</c:v>
                </c:pt>
                <c:pt idx="52">
                  <c:v>30.552706630019642</c:v>
                </c:pt>
                <c:pt idx="53">
                  <c:v>31.300809897630778</c:v>
                </c:pt>
                <c:pt idx="54">
                  <c:v>32.04863765602947</c:v>
                </c:pt>
                <c:pt idx="55">
                  <c:v>32.790732309066911</c:v>
                </c:pt>
                <c:pt idx="56">
                  <c:v>33.530119867997485</c:v>
                </c:pt>
                <c:pt idx="57">
                  <c:v>34.266814513172214</c:v>
                </c:pt>
                <c:pt idx="58">
                  <c:v>35.014826133824734</c:v>
                </c:pt>
                <c:pt idx="59">
                  <c:v>35.774011471225286</c:v>
                </c:pt>
                <c:pt idx="60">
                  <c:v>36.54422724784996</c:v>
                </c:pt>
                <c:pt idx="61">
                  <c:v>37.325330253773345</c:v>
                </c:pt>
                <c:pt idx="62">
                  <c:v>38.117177429393294</c:v>
                </c:pt>
                <c:pt idx="63">
                  <c:v>38.919625944553339</c:v>
                </c:pt>
              </c:numCache>
            </c:numRef>
          </c:xVal>
          <c:yVal>
            <c:numRef>
              <c:f>'hjælpeark smågrisefigur'!$H$4:$H$67</c:f>
              <c:numCache>
                <c:formatCode>0.00</c:formatCode>
                <c:ptCount val="64"/>
                <c:pt idx="0">
                  <c:v>1.6217700827149604</c:v>
                </c:pt>
                <c:pt idx="1">
                  <c:v>1.6220210219432838</c:v>
                </c:pt>
                <c:pt idx="2">
                  <c:v>1.6223956855807389</c:v>
                </c:pt>
                <c:pt idx="3">
                  <c:v>1.6229146289297238</c:v>
                </c:pt>
                <c:pt idx="4">
                  <c:v>1.6236858686204592</c:v>
                </c:pt>
                <c:pt idx="5">
                  <c:v>1.6247554402137798</c:v>
                </c:pt>
                <c:pt idx="6">
                  <c:v>1.6230796297138717</c:v>
                </c:pt>
                <c:pt idx="7">
                  <c:v>1.6216990303508643</c:v>
                </c:pt>
                <c:pt idx="8">
                  <c:v>1.6196170544989388</c:v>
                </c:pt>
                <c:pt idx="9">
                  <c:v>1.6260185832799925</c:v>
                </c:pt>
                <c:pt idx="10">
                  <c:v>1.6204090704582699</c:v>
                </c:pt>
                <c:pt idx="11">
                  <c:v>1.619216707256327</c:v>
                </c:pt>
                <c:pt idx="12">
                  <c:v>1.6182533221784898</c:v>
                </c:pt>
                <c:pt idx="13">
                  <c:v>1.6174736096116775</c:v>
                </c:pt>
                <c:pt idx="14">
                  <c:v>1.5926889529033346</c:v>
                </c:pt>
                <c:pt idx="15">
                  <c:v>1.5920906731444682</c:v>
                </c:pt>
                <c:pt idx="16">
                  <c:v>1.5915850500155109</c:v>
                </c:pt>
                <c:pt idx="17">
                  <c:v>1.5911742875413601</c:v>
                </c:pt>
                <c:pt idx="18">
                  <c:v>1.5919128163285072</c:v>
                </c:pt>
                <c:pt idx="19">
                  <c:v>1.5927558235095196</c:v>
                </c:pt>
                <c:pt idx="20">
                  <c:v>1.5947670726090655</c:v>
                </c:pt>
                <c:pt idx="21">
                  <c:v>1.5947683532206796</c:v>
                </c:pt>
                <c:pt idx="22">
                  <c:v>1.5959485940456157</c:v>
                </c:pt>
                <c:pt idx="23">
                  <c:v>1.597247775459903</c:v>
                </c:pt>
                <c:pt idx="24">
                  <c:v>1.5997466175481874</c:v>
                </c:pt>
                <c:pt idx="25">
                  <c:v>1.6012940350789295</c:v>
                </c:pt>
                <c:pt idx="26">
                  <c:v>1.6007940816202189</c:v>
                </c:pt>
                <c:pt idx="27">
                  <c:v>1.6058746123372221</c:v>
                </c:pt>
                <c:pt idx="28">
                  <c:v>1.5678082674575942</c:v>
                </c:pt>
                <c:pt idx="29">
                  <c:v>1.5732293344581538</c:v>
                </c:pt>
                <c:pt idx="30">
                  <c:v>1.5789266322274822</c:v>
                </c:pt>
                <c:pt idx="31">
                  <c:v>1.5857666623145454</c:v>
                </c:pt>
                <c:pt idx="32">
                  <c:v>1.5927841274367414</c:v>
                </c:pt>
                <c:pt idx="33">
                  <c:v>1.5999847774897025</c:v>
                </c:pt>
                <c:pt idx="34">
                  <c:v>1.6073742084873821</c:v>
                </c:pt>
                <c:pt idx="35">
                  <c:v>1.6149578774968179</c:v>
                </c:pt>
                <c:pt idx="36">
                  <c:v>1.6227411139865302</c:v>
                </c:pt>
                <c:pt idx="37">
                  <c:v>1.6307291282063525</c:v>
                </c:pt>
                <c:pt idx="38">
                  <c:v>1.638927017094671</c:v>
                </c:pt>
                <c:pt idx="39">
                  <c:v>1.6473397681148991</c:v>
                </c:pt>
                <c:pt idx="40">
                  <c:v>1.655966904136863</c:v>
                </c:pt>
                <c:pt idx="41">
                  <c:v>1.6648041204488124</c:v>
                </c:pt>
                <c:pt idx="42">
                  <c:v>1.6738544841170346</c:v>
                </c:pt>
                <c:pt idx="43">
                  <c:v>1.6832020616953645</c:v>
                </c:pt>
                <c:pt idx="44">
                  <c:v>1.6927730338255604</c:v>
                </c:pt>
                <c:pt idx="45">
                  <c:v>1.7025699670460184</c:v>
                </c:pt>
                <c:pt idx="46">
                  <c:v>1.7125952341442019</c:v>
                </c:pt>
                <c:pt idx="47">
                  <c:v>1.7228510110959108</c:v>
                </c:pt>
                <c:pt idx="48">
                  <c:v>1.7333392740251177</c:v>
                </c:pt>
                <c:pt idx="49">
                  <c:v>1.7440617962707785</c:v>
                </c:pt>
                <c:pt idx="50">
                  <c:v>1.7548406602722972</c:v>
                </c:pt>
                <c:pt idx="51">
                  <c:v>1.7655934307227852</c:v>
                </c:pt>
                <c:pt idx="52">
                  <c:v>2.0050707769127118</c:v>
                </c:pt>
                <c:pt idx="53">
                  <c:v>2.0058094703677636</c:v>
                </c:pt>
                <c:pt idx="54">
                  <c:v>2.0213054950071521</c:v>
                </c:pt>
                <c:pt idx="55">
                  <c:v>2.0287060309339728</c:v>
                </c:pt>
                <c:pt idx="56">
                  <c:v>2.0361217633721713</c:v>
                </c:pt>
                <c:pt idx="57">
                  <c:v>2.0435511398426494</c:v>
                </c:pt>
                <c:pt idx="58">
                  <c:v>2.0511460420611489</c:v>
                </c:pt>
                <c:pt idx="59">
                  <c:v>2.058903554208507</c:v>
                </c:pt>
                <c:pt idx="60">
                  <c:v>2.0668208773457932</c:v>
                </c:pt>
                <c:pt idx="61">
                  <c:v>2.0748953214535057</c:v>
                </c:pt>
                <c:pt idx="62">
                  <c:v>2.083124298219448</c:v>
                </c:pt>
                <c:pt idx="63">
                  <c:v>2.0915053144931215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D2-4364-9CAF-14933875252A}"/>
            </c:ext>
          </c:extLst>
        </c:ser>
        <c:ser>
          <c:idx val="1"/>
          <c:order val="1"/>
          <c:tx>
            <c:strRef>
              <c:f>'hjælpeark smågrisefigur'!$I$3</c:f>
              <c:strCache>
                <c:ptCount val="1"/>
                <c:pt idx="0">
                  <c:v>Gns. til denne vægt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'hjælpeark smågrisefigur'!$G$4:$G$67</c:f>
              <c:numCache>
                <c:formatCode>0.00</c:formatCode>
                <c:ptCount val="64"/>
                <c:pt idx="0">
                  <c:v>6.3</c:v>
                </c:pt>
                <c:pt idx="1">
                  <c:v>6.3206278300663863</c:v>
                </c:pt>
                <c:pt idx="2">
                  <c:v>6.3514322064530626</c:v>
                </c:pt>
                <c:pt idx="3">
                  <c:v>6.3941110577711662</c:v>
                </c:pt>
                <c:pt idx="4">
                  <c:v>6.457564692611605</c:v>
                </c:pt>
                <c:pt idx="5">
                  <c:v>6.5456133084444037</c:v>
                </c:pt>
                <c:pt idx="6">
                  <c:v>6.6590894969892798</c:v>
                </c:pt>
                <c:pt idx="7">
                  <c:v>6.7977716795967984</c:v>
                </c:pt>
                <c:pt idx="8">
                  <c:v>6.963984295861966</c:v>
                </c:pt>
                <c:pt idx="9">
                  <c:v>7.1565300214105543</c:v>
                </c:pt>
                <c:pt idx="10">
                  <c:v>7.3725338045353004</c:v>
                </c:pt>
                <c:pt idx="11">
                  <c:v>7.6177788478407287</c:v>
                </c:pt>
                <c:pt idx="12">
                  <c:v>7.8846496849033603</c:v>
                </c:pt>
                <c:pt idx="13">
                  <c:v>8.1696129903164465</c:v>
                </c:pt>
                <c:pt idx="14">
                  <c:v>8.4708088852503245</c:v>
                </c:pt>
                <c:pt idx="15">
                  <c:v>8.7776816057795877</c:v>
                </c:pt>
                <c:pt idx="16">
                  <c:v>9.0954379102605714</c:v>
                </c:pt>
                <c:pt idx="17">
                  <c:v>9.4244228585023571</c:v>
                </c:pt>
                <c:pt idx="18">
                  <c:v>9.7649887278225496</c:v>
                </c:pt>
                <c:pt idx="19">
                  <c:v>10.117261866673147</c:v>
                </c:pt>
                <c:pt idx="20">
                  <c:v>10.481690258564813</c:v>
                </c:pt>
                <c:pt idx="21">
                  <c:v>10.858613161131505</c:v>
                </c:pt>
                <c:pt idx="22">
                  <c:v>11.248921574623724</c:v>
                </c:pt>
                <c:pt idx="23">
                  <c:v>11.652778860825631</c:v>
                </c:pt>
                <c:pt idx="24">
                  <c:v>12.070599391235149</c:v>
                </c:pt>
                <c:pt idx="25">
                  <c:v>12.502514441003569</c:v>
                </c:pt>
                <c:pt idx="26">
                  <c:v>12.949225193474508</c:v>
                </c:pt>
                <c:pt idx="27">
                  <c:v>13.41179644143004</c:v>
                </c:pt>
                <c:pt idx="28">
                  <c:v>13.889112315694801</c:v>
                </c:pt>
                <c:pt idx="29">
                  <c:v>14.386117634630963</c:v>
                </c:pt>
                <c:pt idx="30">
                  <c:v>14.898889807546123</c:v>
                </c:pt>
                <c:pt idx="31">
                  <c:v>15.427760237975965</c:v>
                </c:pt>
                <c:pt idx="32">
                  <c:v>15.972759706039081</c:v>
                </c:pt>
                <c:pt idx="33">
                  <c:v>16.534222681663476</c:v>
                </c:pt>
                <c:pt idx="34">
                  <c:v>17.112480715547019</c:v>
                </c:pt>
                <c:pt idx="35">
                  <c:v>17.707861794111949</c:v>
                </c:pt>
                <c:pt idx="36">
                  <c:v>18.320689671047663</c:v>
                </c:pt>
                <c:pt idx="37">
                  <c:v>18.951283177248282</c:v>
                </c:pt>
                <c:pt idx="38">
                  <c:v>19.599955511064881</c:v>
                </c:pt>
                <c:pt idx="39">
                  <c:v>20.267013510918158</c:v>
                </c:pt>
                <c:pt idx="40">
                  <c:v>20.952264443228536</c:v>
                </c:pt>
                <c:pt idx="41">
                  <c:v>21.655169654576376</c:v>
                </c:pt>
                <c:pt idx="42">
                  <c:v>22.375875836858516</c:v>
                </c:pt>
                <c:pt idx="43">
                  <c:v>23.121975369093406</c:v>
                </c:pt>
                <c:pt idx="44">
                  <c:v>23.886493066946855</c:v>
                </c:pt>
                <c:pt idx="45">
                  <c:v>24.669531007949168</c:v>
                </c:pt>
                <c:pt idx="46">
                  <c:v>25.471173506445819</c:v>
                </c:pt>
                <c:pt idx="47">
                  <c:v>26.291486580483422</c:v>
                </c:pt>
                <c:pt idx="48">
                  <c:v>27.130517466900123</c:v>
                </c:pt>
                <c:pt idx="49">
                  <c:v>27.988294187932272</c:v>
                </c:pt>
                <c:pt idx="50">
                  <c:v>28.848355455948898</c:v>
                </c:pt>
                <c:pt idx="51">
                  <c:v>29.703133917582701</c:v>
                </c:pt>
                <c:pt idx="52">
                  <c:v>30.552706630019642</c:v>
                </c:pt>
                <c:pt idx="53">
                  <c:v>31.300809897630778</c:v>
                </c:pt>
                <c:pt idx="54">
                  <c:v>32.04863765602947</c:v>
                </c:pt>
                <c:pt idx="55">
                  <c:v>32.790732309066911</c:v>
                </c:pt>
                <c:pt idx="56">
                  <c:v>33.530119867997485</c:v>
                </c:pt>
                <c:pt idx="57">
                  <c:v>34.266814513172214</c:v>
                </c:pt>
                <c:pt idx="58">
                  <c:v>35.014826133824734</c:v>
                </c:pt>
                <c:pt idx="59">
                  <c:v>35.774011471225286</c:v>
                </c:pt>
                <c:pt idx="60">
                  <c:v>36.54422724784996</c:v>
                </c:pt>
                <c:pt idx="61">
                  <c:v>37.325330253773345</c:v>
                </c:pt>
                <c:pt idx="62">
                  <c:v>38.117177429393294</c:v>
                </c:pt>
                <c:pt idx="63">
                  <c:v>38.919625944553339</c:v>
                </c:pt>
              </c:numCache>
            </c:numRef>
          </c:xVal>
          <c:yVal>
            <c:numRef>
              <c:f>'hjælpeark smågrisefigur'!$I$4:$I$67</c:f>
              <c:numCache>
                <c:formatCode>General</c:formatCode>
                <c:ptCount val="64"/>
                <c:pt idx="2" formatCode="0.000">
                  <c:v>1.6219203781615703</c:v>
                </c:pt>
                <c:pt idx="3" formatCode="0.000">
                  <c:v>1.6221359274833362</c:v>
                </c:pt>
                <c:pt idx="4" formatCode="0.000">
                  <c:v>1.6224495220863506</c:v>
                </c:pt>
                <c:pt idx="5" formatCode="0.000">
                  <c:v>1.6228927334160099</c:v>
                </c:pt>
                <c:pt idx="6" formatCode="0.000">
                  <c:v>1.6234813690334806</c:v>
                </c:pt>
                <c:pt idx="7" formatCode="0.000">
                  <c:v>1.6233694420437257</c:v>
                </c:pt>
                <c:pt idx="8" formatCode="0.000">
                  <c:v>1.6229512943564379</c:v>
                </c:pt>
                <c:pt idx="9" formatCode="0.000">
                  <c:v>1.6222017658910401</c:v>
                </c:pt>
                <c:pt idx="10" formatCode="0.000">
                  <c:v>1.6229704568097079</c:v>
                </c:pt>
                <c:pt idx="11" formatCode="0.000">
                  <c:v>1.6224937703704703</c:v>
                </c:pt>
                <c:pt idx="12" formatCode="0.000">
                  <c:v>1.621941880205275</c:v>
                </c:pt>
                <c:pt idx="13" formatCode="0.000">
                  <c:v>1.6213796763197841</c:v>
                </c:pt>
                <c:pt idx="14" formatCode="0.000">
                  <c:v>1.6208377164697889</c:v>
                </c:pt>
                <c:pt idx="15" formatCode="0.000">
                  <c:v>1.6173513574335745</c:v>
                </c:pt>
                <c:pt idx="16" formatCode="0.000">
                  <c:v>1.614479985596301</c:v>
                </c:pt>
                <c:pt idx="17" formatCode="0.000">
                  <c:v>1.6120692718299012</c:v>
                </c:pt>
                <c:pt idx="18" formatCode="0.000">
                  <c:v>1.6100155512992922</c:v>
                </c:pt>
                <c:pt idx="19" formatCode="0.000">
                  <c:v>1.6083449540249435</c:v>
                </c:pt>
                <c:pt idx="20" formatCode="0.000">
                  <c:v>1.6069863833481484</c:v>
                </c:pt>
                <c:pt idx="21" formatCode="0.000">
                  <c:v>1.6059760457940848</c:v>
                </c:pt>
                <c:pt idx="22" formatCode="0.000">
                  <c:v>1.605092124592006</c:v>
                </c:pt>
                <c:pt idx="23" formatCode="0.000">
                  <c:v>1.604402262087169</c:v>
                </c:pt>
                <c:pt idx="24" formatCode="0.000">
                  <c:v>1.6038842411339294</c:v>
                </c:pt>
                <c:pt idx="25" formatCode="0.000">
                  <c:v>1.6035961157431773</c:v>
                </c:pt>
                <c:pt idx="26" formatCode="0.000">
                  <c:v>1.6034414564925348</c:v>
                </c:pt>
                <c:pt idx="27" formatCode="0.000">
                  <c:v>1.6032692637830583</c:v>
                </c:pt>
                <c:pt idx="28" formatCode="0.000">
                  <c:v>1.603433126718691</c:v>
                </c:pt>
                <c:pt idx="29" formatCode="0.000">
                  <c:v>1.601243479555597</c:v>
                </c:pt>
                <c:pt idx="30" formatCode="0.000">
                  <c:v>1.5995729297084098</c:v>
                </c:pt>
                <c:pt idx="31" formatCode="0.000">
                  <c:v>1.5983766651319045</c:v>
                </c:pt>
                <c:pt idx="32" formatCode="0.000">
                  <c:v>1.5976661703985926</c:v>
                </c:pt>
                <c:pt idx="33" formatCode="0.000">
                  <c:v>1.5973983350725747</c:v>
                </c:pt>
                <c:pt idx="34" formatCode="0.000">
                  <c:v>1.5975366595835012</c:v>
                </c:pt>
                <c:pt idx="35" formatCode="0.000">
                  <c:v>1.5980500853755153</c:v>
                </c:pt>
                <c:pt idx="36" formatCode="0.000">
                  <c:v>1.5989120630683862</c:v>
                </c:pt>
                <c:pt idx="37" formatCode="0.000">
                  <c:v>1.6000998038340759</c:v>
                </c:pt>
                <c:pt idx="38" formatCode="0.000">
                  <c:v>1.6015936731411771</c:v>
                </c:pt>
                <c:pt idx="39" formatCode="0.000">
                  <c:v>1.6033766960992335</c:v>
                </c:pt>
                <c:pt idx="40" formatCode="0.000">
                  <c:v>1.605432742535106</c:v>
                </c:pt>
                <c:pt idx="41" formatCode="0.000">
                  <c:v>1.6077460172393281</c:v>
                </c:pt>
                <c:pt idx="42" formatCode="0.000">
                  <c:v>1.6103040195621681</c:v>
                </c:pt>
                <c:pt idx="43" formatCode="0.000">
                  <c:v>1.6131226523824735</c:v>
                </c:pt>
                <c:pt idx="44" formatCode="0.000">
                  <c:v>1.6161691351844096</c:v>
                </c:pt>
                <c:pt idx="45" formatCode="0.000">
                  <c:v>1.619434529332946</c:v>
                </c:pt>
                <c:pt idx="46" formatCode="0.000">
                  <c:v>1.622910837133275</c:v>
                </c:pt>
                <c:pt idx="47" formatCode="0.000">
                  <c:v>1.6265908677857759</c:v>
                </c:pt>
                <c:pt idx="48" formatCode="0.000">
                  <c:v>1.6304681230434255</c:v>
                </c:pt>
                <c:pt idx="49" formatCode="0.000">
                  <c:v>1.6345366992907442</c:v>
                </c:pt>
                <c:pt idx="50" formatCode="0.000">
                  <c:v>1.6387143118874732</c:v>
                </c:pt>
                <c:pt idx="51" formatCode="0.000">
                  <c:v>1.64295572253688</c:v>
                </c:pt>
                <c:pt idx="52" formatCode="0.000">
                  <c:v>1.6472517234731872</c:v>
                </c:pt>
                <c:pt idx="53" formatCode="0.000">
                  <c:v>1.6579588007313923</c:v>
                </c:pt>
                <c:pt idx="54" formatCode="0.000">
                  <c:v>1.6680615638370258</c:v>
                </c:pt>
                <c:pt idx="55" formatCode="0.000">
                  <c:v>1.677957116345008</c:v>
                </c:pt>
                <c:pt idx="56" formatCode="0.000">
                  <c:v>1.6874811061405972</c:v>
                </c:pt>
                <c:pt idx="57" formatCode="0.000">
                  <c:v>1.6966649087918331</c:v>
                </c:pt>
                <c:pt idx="58" formatCode="0.000">
                  <c:v>1.7057011791373711</c:v>
                </c:pt>
                <c:pt idx="59" formatCode="0.000">
                  <c:v>1.7145990746636759</c:v>
                </c:pt>
                <c:pt idx="60" formatCode="0.000">
                  <c:v>1.7233673179365081</c:v>
                </c:pt>
                <c:pt idx="61" formatCode="0.000">
                  <c:v>1.7320142076055407</c:v>
                </c:pt>
                <c:pt idx="62" formatCode="0.000">
                  <c:v>1.7405476308539243</c:v>
                </c:pt>
                <c:pt idx="63" formatCode="0.000">
                  <c:v>1.7489750769111905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D2-4364-9CAF-149338752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305455"/>
        <c:axId val="1092472304"/>
      </c:scatterChart>
      <c:valAx>
        <c:axId val="1175305455"/>
        <c:scaling>
          <c:orientation val="minMax"/>
          <c:max val="40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vægt, kg</a:t>
                </a:r>
              </a:p>
            </c:rich>
          </c:tx>
          <c:layout>
            <c:manualLayout>
              <c:xMode val="edge"/>
              <c:yMode val="edge"/>
              <c:x val="0.8104216823280147"/>
              <c:y val="0.917808223033783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92472304"/>
        <c:crosses val="autoZero"/>
        <c:crossBetween val="midCat"/>
      </c:valAx>
      <c:valAx>
        <c:axId val="1092472304"/>
        <c:scaling>
          <c:orientation val="minMax"/>
          <c:min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FEsv pr. kg tilvækst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75305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68781566403894"/>
          <c:y val="0.25202495142652626"/>
          <c:w val="0.28131218433596106"/>
          <c:h val="0.31925227528377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Udvikling i daglig tilvækst i 90 dage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6509546940149378"/>
          <c:y val="0.14539365838621804"/>
          <c:w val="0.79064521597479109"/>
          <c:h val="0.696534938310020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'hjælpeark slagtegrisefigur'!$E$3</c:f>
              <c:strCache>
                <c:ptCount val="1"/>
                <c:pt idx="0">
                  <c:v>Ved denne vægt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'hjælpeark slagtegrisefigur'!$B$4:$B$94</c:f>
              <c:numCache>
                <c:formatCode>0.00</c:formatCode>
                <c:ptCount val="91"/>
                <c:pt idx="0">
                  <c:v>6.3</c:v>
                </c:pt>
                <c:pt idx="1">
                  <c:v>6.3206278300663863</c:v>
                </c:pt>
                <c:pt idx="2">
                  <c:v>6.3514322064530626</c:v>
                </c:pt>
                <c:pt idx="3">
                  <c:v>6.3941110577711662</c:v>
                </c:pt>
                <c:pt idx="4">
                  <c:v>6.457564692611605</c:v>
                </c:pt>
                <c:pt idx="5">
                  <c:v>6.5456133084444037</c:v>
                </c:pt>
                <c:pt idx="6">
                  <c:v>6.6590894969892798</c:v>
                </c:pt>
                <c:pt idx="7">
                  <c:v>6.7977716795967984</c:v>
                </c:pt>
                <c:pt idx="8">
                  <c:v>6.963984295861966</c:v>
                </c:pt>
                <c:pt idx="9">
                  <c:v>7.1565300214105543</c:v>
                </c:pt>
                <c:pt idx="10">
                  <c:v>7.3725338045353004</c:v>
                </c:pt>
                <c:pt idx="11">
                  <c:v>7.6177788478407287</c:v>
                </c:pt>
                <c:pt idx="12">
                  <c:v>7.8846496849033603</c:v>
                </c:pt>
                <c:pt idx="13">
                  <c:v>8.1696129903164465</c:v>
                </c:pt>
                <c:pt idx="14">
                  <c:v>8.4708088852503245</c:v>
                </c:pt>
                <c:pt idx="15">
                  <c:v>8.7776816057795877</c:v>
                </c:pt>
                <c:pt idx="16">
                  <c:v>9.0954379102605714</c:v>
                </c:pt>
                <c:pt idx="17">
                  <c:v>9.4244228585023571</c:v>
                </c:pt>
                <c:pt idx="18">
                  <c:v>9.7649887278225496</c:v>
                </c:pt>
                <c:pt idx="19">
                  <c:v>10.117261866673147</c:v>
                </c:pt>
                <c:pt idx="20">
                  <c:v>10.481690258564813</c:v>
                </c:pt>
                <c:pt idx="21">
                  <c:v>10.858613161131505</c:v>
                </c:pt>
                <c:pt idx="22">
                  <c:v>11.248921574623724</c:v>
                </c:pt>
                <c:pt idx="23">
                  <c:v>11.652778860825631</c:v>
                </c:pt>
                <c:pt idx="24">
                  <c:v>12.070599391235149</c:v>
                </c:pt>
                <c:pt idx="25">
                  <c:v>12.502514441003569</c:v>
                </c:pt>
                <c:pt idx="26">
                  <c:v>12.949225193474508</c:v>
                </c:pt>
                <c:pt idx="27">
                  <c:v>13.41179644143004</c:v>
                </c:pt>
                <c:pt idx="28">
                  <c:v>13.889112315694801</c:v>
                </c:pt>
                <c:pt idx="29">
                  <c:v>14.386117634630963</c:v>
                </c:pt>
                <c:pt idx="30">
                  <c:v>14.898889807546123</c:v>
                </c:pt>
                <c:pt idx="31">
                  <c:v>15.427760237975965</c:v>
                </c:pt>
                <c:pt idx="32">
                  <c:v>15.972759706039081</c:v>
                </c:pt>
                <c:pt idx="33">
                  <c:v>16.534222681663476</c:v>
                </c:pt>
                <c:pt idx="34">
                  <c:v>17.112480715547019</c:v>
                </c:pt>
                <c:pt idx="35">
                  <c:v>17.707861794111949</c:v>
                </c:pt>
                <c:pt idx="36">
                  <c:v>18.320689671047663</c:v>
                </c:pt>
                <c:pt idx="37">
                  <c:v>18.951283177248282</c:v>
                </c:pt>
                <c:pt idx="38">
                  <c:v>19.599955511064881</c:v>
                </c:pt>
                <c:pt idx="39">
                  <c:v>20.267013510918158</c:v>
                </c:pt>
                <c:pt idx="40">
                  <c:v>20.952264443228536</c:v>
                </c:pt>
                <c:pt idx="41">
                  <c:v>21.655169654576376</c:v>
                </c:pt>
                <c:pt idx="42">
                  <c:v>22.375875836858516</c:v>
                </c:pt>
                <c:pt idx="43">
                  <c:v>23.121975369093406</c:v>
                </c:pt>
                <c:pt idx="44">
                  <c:v>23.886493066946855</c:v>
                </c:pt>
                <c:pt idx="45">
                  <c:v>24.669531007949168</c:v>
                </c:pt>
                <c:pt idx="46">
                  <c:v>25.471173506445819</c:v>
                </c:pt>
                <c:pt idx="47">
                  <c:v>26.291486580483422</c:v>
                </c:pt>
                <c:pt idx="48">
                  <c:v>27.130517466900123</c:v>
                </c:pt>
                <c:pt idx="49">
                  <c:v>27.988294187932272</c:v>
                </c:pt>
                <c:pt idx="50">
                  <c:v>28.848355455948898</c:v>
                </c:pt>
                <c:pt idx="51">
                  <c:v>29.703133917582701</c:v>
                </c:pt>
                <c:pt idx="52">
                  <c:v>30.552706630019642</c:v>
                </c:pt>
                <c:pt idx="53">
                  <c:v>31.300809897630778</c:v>
                </c:pt>
                <c:pt idx="54">
                  <c:v>32.04863765602947</c:v>
                </c:pt>
                <c:pt idx="55">
                  <c:v>32.790732309066911</c:v>
                </c:pt>
                <c:pt idx="56">
                  <c:v>33.530119867997485</c:v>
                </c:pt>
                <c:pt idx="57">
                  <c:v>34.266814513172214</c:v>
                </c:pt>
                <c:pt idx="58">
                  <c:v>35.014826133824734</c:v>
                </c:pt>
                <c:pt idx="59">
                  <c:v>35.774011471225286</c:v>
                </c:pt>
                <c:pt idx="60">
                  <c:v>36.54422724784996</c:v>
                </c:pt>
                <c:pt idx="61">
                  <c:v>37.325330253773345</c:v>
                </c:pt>
                <c:pt idx="62">
                  <c:v>38.117177429393294</c:v>
                </c:pt>
                <c:pt idx="63">
                  <c:v>38.919625944553339</c:v>
                </c:pt>
                <c:pt idx="64">
                  <c:v>39.73243764922357</c:v>
                </c:pt>
                <c:pt idx="65">
                  <c:v>40.558971522125624</c:v>
                </c:pt>
                <c:pt idx="66">
                  <c:v>41.399043095492267</c:v>
                </c:pt>
                <c:pt idx="67">
                  <c:v>42.252467710059861</c:v>
                </c:pt>
                <c:pt idx="68">
                  <c:v>43.119060651110701</c:v>
                </c:pt>
                <c:pt idx="69">
                  <c:v>43.998637278646903</c:v>
                </c:pt>
                <c:pt idx="70">
                  <c:v>44.891013151772121</c:v>
                </c:pt>
                <c:pt idx="71">
                  <c:v>45.795888137751916</c:v>
                </c:pt>
                <c:pt idx="72">
                  <c:v>46.713195609663451</c:v>
                </c:pt>
                <c:pt idx="73">
                  <c:v>47.642752423576511</c:v>
                </c:pt>
                <c:pt idx="74">
                  <c:v>48.584376075085771</c:v>
                </c:pt>
                <c:pt idx="75">
                  <c:v>49.537884796171305</c:v>
                </c:pt>
                <c:pt idx="76">
                  <c:v>50.503097646875943</c:v>
                </c:pt>
                <c:pt idx="77">
                  <c:v>51.479834601920857</c:v>
                </c:pt>
                <c:pt idx="78">
                  <c:v>52.467804363093698</c:v>
                </c:pt>
                <c:pt idx="79">
                  <c:v>53.463747056173723</c:v>
                </c:pt>
                <c:pt idx="80">
                  <c:v>54.467532643078535</c:v>
                </c:pt>
                <c:pt idx="81">
                  <c:v>55.479032411733407</c:v>
                </c:pt>
                <c:pt idx="82">
                  <c:v>56.498118992008514</c:v>
                </c:pt>
                <c:pt idx="83">
                  <c:v>57.524666369809736</c:v>
                </c:pt>
                <c:pt idx="84">
                  <c:v>58.558549899402891</c:v>
                </c:pt>
                <c:pt idx="85">
                  <c:v>59.480161115754917</c:v>
                </c:pt>
                <c:pt idx="86">
                  <c:v>60.412432015553385</c:v>
                </c:pt>
                <c:pt idx="87">
                  <c:v>61.35535349785355</c:v>
                </c:pt>
                <c:pt idx="88">
                  <c:v>62.308916441896194</c:v>
                </c:pt>
                <c:pt idx="89">
                  <c:v>63.273111707863116</c:v>
                </c:pt>
                <c:pt idx="90">
                  <c:v>64.247930137608719</c:v>
                </c:pt>
              </c:numCache>
            </c:numRef>
          </c:xVal>
          <c:yVal>
            <c:numRef>
              <c:f>'hjælpeark slagtegrisefigur'!$E$4:$E$94</c:f>
              <c:numCache>
                <c:formatCode>0</c:formatCode>
                <c:ptCount val="91"/>
                <c:pt idx="0">
                  <c:v>20.62783006638621</c:v>
                </c:pt>
                <c:pt idx="1">
                  <c:v>30.804376386676292</c:v>
                </c:pt>
                <c:pt idx="2">
                  <c:v>42.678851318103661</c:v>
                </c:pt>
                <c:pt idx="3">
                  <c:v>63.453634840438752</c:v>
                </c:pt>
                <c:pt idx="4">
                  <c:v>88.048615832798475</c:v>
                </c:pt>
                <c:pt idx="5">
                  <c:v>113.47618854487609</c:v>
                </c:pt>
                <c:pt idx="6">
                  <c:v>138.68218260751866</c:v>
                </c:pt>
                <c:pt idx="7">
                  <c:v>166.21261626516787</c:v>
                </c:pt>
                <c:pt idx="8">
                  <c:v>192.54572554858836</c:v>
                </c:pt>
                <c:pt idx="9">
                  <c:v>216.00378312474646</c:v>
                </c:pt>
                <c:pt idx="10">
                  <c:v>245.24504330542874</c:v>
                </c:pt>
                <c:pt idx="11">
                  <c:v>266.87083706263172</c:v>
                </c:pt>
                <c:pt idx="12">
                  <c:v>284.96330541308669</c:v>
                </c:pt>
                <c:pt idx="13">
                  <c:v>301.19589493387883</c:v>
                </c:pt>
                <c:pt idx="14">
                  <c:v>306.87272052926352</c:v>
                </c:pt>
                <c:pt idx="15">
                  <c:v>317.75630448098292</c:v>
                </c:pt>
                <c:pt idx="16">
                  <c:v>328.9849482417855</c:v>
                </c:pt>
                <c:pt idx="17">
                  <c:v>340.56586932019303</c:v>
                </c:pt>
                <c:pt idx="18">
                  <c:v>352.27313885059647</c:v>
                </c:pt>
                <c:pt idx="19">
                  <c:v>364.42839189166568</c:v>
                </c:pt>
                <c:pt idx="20">
                  <c:v>376.92290256669213</c:v>
                </c:pt>
                <c:pt idx="21">
                  <c:v>390.30841349221856</c:v>
                </c:pt>
                <c:pt idx="22">
                  <c:v>403.85728620190781</c:v>
                </c:pt>
                <c:pt idx="23">
                  <c:v>417.82053040951843</c:v>
                </c:pt>
                <c:pt idx="24">
                  <c:v>431.91504976841969</c:v>
                </c:pt>
                <c:pt idx="25">
                  <c:v>446.71075247093756</c:v>
                </c:pt>
                <c:pt idx="26">
                  <c:v>462.57124795553159</c:v>
                </c:pt>
                <c:pt idx="27">
                  <c:v>477.3158742647617</c:v>
                </c:pt>
                <c:pt idx="28">
                  <c:v>497.00531893616323</c:v>
                </c:pt>
                <c:pt idx="29">
                  <c:v>512.77217291516047</c:v>
                </c:pt>
                <c:pt idx="30">
                  <c:v>528.8704304298418</c:v>
                </c:pt>
                <c:pt idx="31">
                  <c:v>544.9994680631163</c:v>
                </c:pt>
                <c:pt idx="32">
                  <c:v>561.4629756243952</c:v>
                </c:pt>
                <c:pt idx="33">
                  <c:v>578.25803388354302</c:v>
                </c:pt>
                <c:pt idx="34">
                  <c:v>595.38107856493116</c:v>
                </c:pt>
                <c:pt idx="35">
                  <c:v>612.82787693571345</c:v>
                </c:pt>
                <c:pt idx="36">
                  <c:v>630.59350620061821</c:v>
                </c:pt>
                <c:pt idx="37">
                  <c:v>648.67233381660037</c:v>
                </c:pt>
                <c:pt idx="38">
                  <c:v>667.05799985327667</c:v>
                </c:pt>
                <c:pt idx="39">
                  <c:v>685.25093231037897</c:v>
                </c:pt>
                <c:pt idx="40">
                  <c:v>702.90521134783967</c:v>
                </c:pt>
                <c:pt idx="41">
                  <c:v>720.70618228213971</c:v>
                </c:pt>
                <c:pt idx="42">
                  <c:v>746.09953223488935</c:v>
                </c:pt>
                <c:pt idx="43">
                  <c:v>764.51769785344914</c:v>
                </c:pt>
                <c:pt idx="44">
                  <c:v>783.03794100231187</c:v>
                </c:pt>
                <c:pt idx="45">
                  <c:v>801.64249849664975</c:v>
                </c:pt>
                <c:pt idx="46">
                  <c:v>820.31307403760309</c:v>
                </c:pt>
                <c:pt idx="47">
                  <c:v>839.03088641669956</c:v>
                </c:pt>
                <c:pt idx="48">
                  <c:v>857.77672103215014</c:v>
                </c:pt>
                <c:pt idx="49">
                  <c:v>860.06126801662583</c:v>
                </c:pt>
                <c:pt idx="50">
                  <c:v>854.77846163380218</c:v>
                </c:pt>
                <c:pt idx="51">
                  <c:v>849.57271243694049</c:v>
                </c:pt>
                <c:pt idx="52">
                  <c:v>748.10326761113652</c:v>
                </c:pt>
                <c:pt idx="53">
                  <c:v>747.82775839869589</c:v>
                </c:pt>
                <c:pt idx="54">
                  <c:v>742.09465303743832</c:v>
                </c:pt>
                <c:pt idx="55">
                  <c:v>739.38755893057214</c:v>
                </c:pt>
                <c:pt idx="56">
                  <c:v>736.69464517472636</c:v>
                </c:pt>
                <c:pt idx="57">
                  <c:v>748.01162065251765</c:v>
                </c:pt>
                <c:pt idx="58">
                  <c:v>759.18533740055182</c:v>
                </c:pt>
                <c:pt idx="59">
                  <c:v>770.21577662467064</c:v>
                </c:pt>
                <c:pt idx="60">
                  <c:v>781.1030059233816</c:v>
                </c:pt>
                <c:pt idx="61">
                  <c:v>791.84717561994671</c:v>
                </c:pt>
                <c:pt idx="62">
                  <c:v>802.44851516004155</c:v>
                </c:pt>
                <c:pt idx="63">
                  <c:v>812.81170467023026</c:v>
                </c:pt>
                <c:pt idx="64">
                  <c:v>826.53387290205251</c:v>
                </c:pt>
                <c:pt idx="65">
                  <c:v>840.07157336663977</c:v>
                </c:pt>
                <c:pt idx="66">
                  <c:v>853.42461456759156</c:v>
                </c:pt>
                <c:pt idx="67">
                  <c:v>866.5929410508403</c:v>
                </c:pt>
                <c:pt idx="68">
                  <c:v>879.57662753620082</c:v>
                </c:pt>
                <c:pt idx="69">
                  <c:v>892.37587312521771</c:v>
                </c:pt>
                <c:pt idx="70">
                  <c:v>904.87498597979516</c:v>
                </c:pt>
                <c:pt idx="71">
                  <c:v>917.30747191153193</c:v>
                </c:pt>
                <c:pt idx="72">
                  <c:v>929.55681391305905</c:v>
                </c:pt>
                <c:pt idx="73">
                  <c:v>941.62365150926109</c:v>
                </c:pt>
                <c:pt idx="74">
                  <c:v>953.50872108553165</c:v>
                </c:pt>
                <c:pt idx="75">
                  <c:v>965.21285070464057</c:v>
                </c:pt>
                <c:pt idx="76">
                  <c:v>976.7369550449157</c:v>
                </c:pt>
                <c:pt idx="77">
                  <c:v>987.96976117283953</c:v>
                </c:pt>
                <c:pt idx="78">
                  <c:v>995.94269308002163</c:v>
                </c:pt>
                <c:pt idx="79">
                  <c:v>1003.7855869048107</c:v>
                </c:pt>
                <c:pt idx="80">
                  <c:v>1011.4997686548714</c:v>
                </c:pt>
                <c:pt idx="81">
                  <c:v>1019.0865802751055</c:v>
                </c:pt>
                <c:pt idx="82">
                  <c:v>1026.5473778012217</c:v>
                </c:pt>
                <c:pt idx="83">
                  <c:v>1033.8835295931538</c:v>
                </c:pt>
                <c:pt idx="84">
                  <c:v>921.61121635202642</c:v>
                </c:pt>
                <c:pt idx="85">
                  <c:v>932.27089979846698</c:v>
                </c:pt>
                <c:pt idx="86">
                  <c:v>942.92148230016699</c:v>
                </c:pt>
                <c:pt idx="87">
                  <c:v>953.56294404264349</c:v>
                </c:pt>
                <c:pt idx="88">
                  <c:v>964.19526596692162</c:v>
                </c:pt>
                <c:pt idx="89">
                  <c:v>974.81842974561039</c:v>
                </c:pt>
                <c:pt idx="90">
                  <c:v>985.43241775987383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A7-4FBA-BAF0-7C444FF5A908}"/>
            </c:ext>
          </c:extLst>
        </c:ser>
        <c:ser>
          <c:idx val="1"/>
          <c:order val="1"/>
          <c:tx>
            <c:strRef>
              <c:f>'hjælpeark slagtegrisefigur'!$F$3</c:f>
              <c:strCache>
                <c:ptCount val="1"/>
                <c:pt idx="0">
                  <c:v>Gns. til denne vægt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'hjælpeark slagtegrisefigur'!$B$4:$B$94</c:f>
              <c:numCache>
                <c:formatCode>0.00</c:formatCode>
                <c:ptCount val="91"/>
                <c:pt idx="0">
                  <c:v>6.3</c:v>
                </c:pt>
                <c:pt idx="1">
                  <c:v>6.3206278300663863</c:v>
                </c:pt>
                <c:pt idx="2">
                  <c:v>6.3514322064530626</c:v>
                </c:pt>
                <c:pt idx="3">
                  <c:v>6.3941110577711662</c:v>
                </c:pt>
                <c:pt idx="4">
                  <c:v>6.457564692611605</c:v>
                </c:pt>
                <c:pt idx="5">
                  <c:v>6.5456133084444037</c:v>
                </c:pt>
                <c:pt idx="6">
                  <c:v>6.6590894969892798</c:v>
                </c:pt>
                <c:pt idx="7">
                  <c:v>6.7977716795967984</c:v>
                </c:pt>
                <c:pt idx="8">
                  <c:v>6.963984295861966</c:v>
                </c:pt>
                <c:pt idx="9">
                  <c:v>7.1565300214105543</c:v>
                </c:pt>
                <c:pt idx="10">
                  <c:v>7.3725338045353004</c:v>
                </c:pt>
                <c:pt idx="11">
                  <c:v>7.6177788478407287</c:v>
                </c:pt>
                <c:pt idx="12">
                  <c:v>7.8846496849033603</c:v>
                </c:pt>
                <c:pt idx="13">
                  <c:v>8.1696129903164465</c:v>
                </c:pt>
                <c:pt idx="14">
                  <c:v>8.4708088852503245</c:v>
                </c:pt>
                <c:pt idx="15">
                  <c:v>8.7776816057795877</c:v>
                </c:pt>
                <c:pt idx="16">
                  <c:v>9.0954379102605714</c:v>
                </c:pt>
                <c:pt idx="17">
                  <c:v>9.4244228585023571</c:v>
                </c:pt>
                <c:pt idx="18">
                  <c:v>9.7649887278225496</c:v>
                </c:pt>
                <c:pt idx="19">
                  <c:v>10.117261866673147</c:v>
                </c:pt>
                <c:pt idx="20">
                  <c:v>10.481690258564813</c:v>
                </c:pt>
                <c:pt idx="21">
                  <c:v>10.858613161131505</c:v>
                </c:pt>
                <c:pt idx="22">
                  <c:v>11.248921574623724</c:v>
                </c:pt>
                <c:pt idx="23">
                  <c:v>11.652778860825631</c:v>
                </c:pt>
                <c:pt idx="24">
                  <c:v>12.070599391235149</c:v>
                </c:pt>
                <c:pt idx="25">
                  <c:v>12.502514441003569</c:v>
                </c:pt>
                <c:pt idx="26">
                  <c:v>12.949225193474508</c:v>
                </c:pt>
                <c:pt idx="27">
                  <c:v>13.41179644143004</c:v>
                </c:pt>
                <c:pt idx="28">
                  <c:v>13.889112315694801</c:v>
                </c:pt>
                <c:pt idx="29">
                  <c:v>14.386117634630963</c:v>
                </c:pt>
                <c:pt idx="30">
                  <c:v>14.898889807546123</c:v>
                </c:pt>
                <c:pt idx="31">
                  <c:v>15.427760237975965</c:v>
                </c:pt>
                <c:pt idx="32">
                  <c:v>15.972759706039081</c:v>
                </c:pt>
                <c:pt idx="33">
                  <c:v>16.534222681663476</c:v>
                </c:pt>
                <c:pt idx="34">
                  <c:v>17.112480715547019</c:v>
                </c:pt>
                <c:pt idx="35">
                  <c:v>17.707861794111949</c:v>
                </c:pt>
                <c:pt idx="36">
                  <c:v>18.320689671047663</c:v>
                </c:pt>
                <c:pt idx="37">
                  <c:v>18.951283177248282</c:v>
                </c:pt>
                <c:pt idx="38">
                  <c:v>19.599955511064881</c:v>
                </c:pt>
                <c:pt idx="39">
                  <c:v>20.267013510918158</c:v>
                </c:pt>
                <c:pt idx="40">
                  <c:v>20.952264443228536</c:v>
                </c:pt>
                <c:pt idx="41">
                  <c:v>21.655169654576376</c:v>
                </c:pt>
                <c:pt idx="42">
                  <c:v>22.375875836858516</c:v>
                </c:pt>
                <c:pt idx="43">
                  <c:v>23.121975369093406</c:v>
                </c:pt>
                <c:pt idx="44">
                  <c:v>23.886493066946855</c:v>
                </c:pt>
                <c:pt idx="45">
                  <c:v>24.669531007949168</c:v>
                </c:pt>
                <c:pt idx="46">
                  <c:v>25.471173506445819</c:v>
                </c:pt>
                <c:pt idx="47">
                  <c:v>26.291486580483422</c:v>
                </c:pt>
                <c:pt idx="48">
                  <c:v>27.130517466900123</c:v>
                </c:pt>
                <c:pt idx="49">
                  <c:v>27.988294187932272</c:v>
                </c:pt>
                <c:pt idx="50">
                  <c:v>28.848355455948898</c:v>
                </c:pt>
                <c:pt idx="51">
                  <c:v>29.703133917582701</c:v>
                </c:pt>
                <c:pt idx="52">
                  <c:v>30.552706630019642</c:v>
                </c:pt>
                <c:pt idx="53">
                  <c:v>31.300809897630778</c:v>
                </c:pt>
                <c:pt idx="54">
                  <c:v>32.04863765602947</c:v>
                </c:pt>
                <c:pt idx="55">
                  <c:v>32.790732309066911</c:v>
                </c:pt>
                <c:pt idx="56">
                  <c:v>33.530119867997485</c:v>
                </c:pt>
                <c:pt idx="57">
                  <c:v>34.266814513172214</c:v>
                </c:pt>
                <c:pt idx="58">
                  <c:v>35.014826133824734</c:v>
                </c:pt>
                <c:pt idx="59">
                  <c:v>35.774011471225286</c:v>
                </c:pt>
                <c:pt idx="60">
                  <c:v>36.54422724784996</c:v>
                </c:pt>
                <c:pt idx="61">
                  <c:v>37.325330253773345</c:v>
                </c:pt>
                <c:pt idx="62">
                  <c:v>38.117177429393294</c:v>
                </c:pt>
                <c:pt idx="63">
                  <c:v>38.919625944553339</c:v>
                </c:pt>
                <c:pt idx="64">
                  <c:v>39.73243764922357</c:v>
                </c:pt>
                <c:pt idx="65">
                  <c:v>40.558971522125624</c:v>
                </c:pt>
                <c:pt idx="66">
                  <c:v>41.399043095492267</c:v>
                </c:pt>
                <c:pt idx="67">
                  <c:v>42.252467710059861</c:v>
                </c:pt>
                <c:pt idx="68">
                  <c:v>43.119060651110701</c:v>
                </c:pt>
                <c:pt idx="69">
                  <c:v>43.998637278646903</c:v>
                </c:pt>
                <c:pt idx="70">
                  <c:v>44.891013151772121</c:v>
                </c:pt>
                <c:pt idx="71">
                  <c:v>45.795888137751916</c:v>
                </c:pt>
                <c:pt idx="72">
                  <c:v>46.713195609663451</c:v>
                </c:pt>
                <c:pt idx="73">
                  <c:v>47.642752423576511</c:v>
                </c:pt>
                <c:pt idx="74">
                  <c:v>48.584376075085771</c:v>
                </c:pt>
                <c:pt idx="75">
                  <c:v>49.537884796171305</c:v>
                </c:pt>
                <c:pt idx="76">
                  <c:v>50.503097646875943</c:v>
                </c:pt>
                <c:pt idx="77">
                  <c:v>51.479834601920857</c:v>
                </c:pt>
                <c:pt idx="78">
                  <c:v>52.467804363093698</c:v>
                </c:pt>
                <c:pt idx="79">
                  <c:v>53.463747056173723</c:v>
                </c:pt>
                <c:pt idx="80">
                  <c:v>54.467532643078535</c:v>
                </c:pt>
                <c:pt idx="81">
                  <c:v>55.479032411733407</c:v>
                </c:pt>
                <c:pt idx="82">
                  <c:v>56.498118992008514</c:v>
                </c:pt>
                <c:pt idx="83">
                  <c:v>57.524666369809736</c:v>
                </c:pt>
                <c:pt idx="84">
                  <c:v>58.558549899402891</c:v>
                </c:pt>
                <c:pt idx="85">
                  <c:v>59.480161115754917</c:v>
                </c:pt>
                <c:pt idx="86">
                  <c:v>60.412432015553385</c:v>
                </c:pt>
                <c:pt idx="87">
                  <c:v>61.35535349785355</c:v>
                </c:pt>
                <c:pt idx="88">
                  <c:v>62.308916441896194</c:v>
                </c:pt>
                <c:pt idx="89">
                  <c:v>63.273111707863116</c:v>
                </c:pt>
                <c:pt idx="90">
                  <c:v>64.247930137608719</c:v>
                </c:pt>
              </c:numCache>
            </c:numRef>
          </c:xVal>
          <c:yVal>
            <c:numRef>
              <c:f>'hjælpeark slagtegrisefigur'!$F$4:$F$94</c:f>
              <c:numCache>
                <c:formatCode>0</c:formatCode>
                <c:ptCount val="91"/>
                <c:pt idx="1">
                  <c:v>20.627830066386466</c:v>
                </c:pt>
                <c:pt idx="2">
                  <c:v>25.716103226531395</c:v>
                </c:pt>
                <c:pt idx="3">
                  <c:v>31.370352590388784</c:v>
                </c:pt>
                <c:pt idx="4">
                  <c:v>39.391173152901303</c:v>
                </c:pt>
                <c:pt idx="5">
                  <c:v>49.122661688880775</c:v>
                </c:pt>
                <c:pt idx="6">
                  <c:v>59.84824949821332</c:v>
                </c:pt>
                <c:pt idx="7">
                  <c:v>71.110239942399801</c:v>
                </c:pt>
                <c:pt idx="8">
                  <c:v>82.998036982745774</c:v>
                </c:pt>
                <c:pt idx="9">
                  <c:v>95.1700023789505</c:v>
                </c:pt>
                <c:pt idx="10">
                  <c:v>107.25338045353006</c:v>
                </c:pt>
                <c:pt idx="11">
                  <c:v>119.79807707642989</c:v>
                </c:pt>
                <c:pt idx="12">
                  <c:v>132.05414040861339</c:v>
                </c:pt>
                <c:pt idx="13">
                  <c:v>143.81638387049588</c:v>
                </c:pt>
                <c:pt idx="14">
                  <c:v>155.05777751788034</c:v>
                </c:pt>
                <c:pt idx="15">
                  <c:v>165.17877371863918</c:v>
                </c:pt>
                <c:pt idx="16">
                  <c:v>174.71486939128573</c:v>
                </c:pt>
                <c:pt idx="17">
                  <c:v>183.78957991190336</c:v>
                </c:pt>
                <c:pt idx="18">
                  <c:v>192.49937376791942</c:v>
                </c:pt>
                <c:pt idx="19">
                  <c:v>200.90851929858667</c:v>
                </c:pt>
                <c:pt idx="20">
                  <c:v>209.08451292824066</c:v>
                </c:pt>
                <c:pt idx="21">
                  <c:v>217.07681719673832</c:v>
                </c:pt>
                <c:pt idx="22">
                  <c:v>224.95098066471473</c:v>
                </c:pt>
                <c:pt idx="23">
                  <c:v>232.7295156880709</c:v>
                </c:pt>
                <c:pt idx="24">
                  <c:v>240.44164130146453</c:v>
                </c:pt>
                <c:pt idx="25">
                  <c:v>248.1005776401428</c:v>
                </c:pt>
                <c:pt idx="26">
                  <c:v>255.73943051825032</c:v>
                </c:pt>
                <c:pt idx="27">
                  <c:v>263.39986820111261</c:v>
                </c:pt>
                <c:pt idx="28">
                  <c:v>271.03972556052861</c:v>
                </c:pt>
                <c:pt idx="29">
                  <c:v>278.83164257348147</c:v>
                </c:pt>
                <c:pt idx="30">
                  <c:v>286.62966025153742</c:v>
                </c:pt>
                <c:pt idx="31">
                  <c:v>294.44387864438602</c:v>
                </c:pt>
                <c:pt idx="32">
                  <c:v>302.27374081372125</c:v>
                </c:pt>
                <c:pt idx="33">
                  <c:v>310.12796005040832</c:v>
                </c:pt>
                <c:pt idx="34">
                  <c:v>318.01413869255936</c:v>
                </c:pt>
                <c:pt idx="35">
                  <c:v>325.93890840319852</c:v>
                </c:pt>
                <c:pt idx="36">
                  <c:v>333.90804641799065</c:v>
                </c:pt>
                <c:pt idx="37">
                  <c:v>341.92657235806166</c:v>
                </c:pt>
                <c:pt idx="38">
                  <c:v>349.99882923854949</c:v>
                </c:pt>
                <c:pt idx="39">
                  <c:v>358.12855156200402</c:v>
                </c:pt>
                <c:pt idx="40">
                  <c:v>366.30661108071337</c:v>
                </c:pt>
                <c:pt idx="41">
                  <c:v>374.51633303844818</c:v>
                </c:pt>
                <c:pt idx="42">
                  <c:v>382.75894849663126</c:v>
                </c:pt>
                <c:pt idx="43">
                  <c:v>391.20872951380011</c:v>
                </c:pt>
                <c:pt idx="44">
                  <c:v>399.69302424879214</c:v>
                </c:pt>
                <c:pt idx="45">
                  <c:v>408.21180017664813</c:v>
                </c:pt>
                <c:pt idx="46">
                  <c:v>416.76464144447431</c:v>
                </c:pt>
                <c:pt idx="47">
                  <c:v>425.35077830815794</c:v>
                </c:pt>
                <c:pt idx="48">
                  <c:v>433.96911389375254</c:v>
                </c:pt>
                <c:pt idx="49">
                  <c:v>442.6182487333117</c:v>
                </c:pt>
                <c:pt idx="50">
                  <c:v>450.96710911897799</c:v>
                </c:pt>
                <c:pt idx="51">
                  <c:v>458.88497877613139</c:v>
                </c:pt>
                <c:pt idx="52">
                  <c:v>466.39820442345462</c:v>
                </c:pt>
                <c:pt idx="53">
                  <c:v>471.71339429492031</c:v>
                </c:pt>
                <c:pt idx="54">
                  <c:v>476.82662325980499</c:v>
                </c:pt>
                <c:pt idx="55">
                  <c:v>481.64967834667112</c:v>
                </c:pt>
                <c:pt idx="56">
                  <c:v>486.25214049995509</c:v>
                </c:pt>
                <c:pt idx="57">
                  <c:v>490.64586865214409</c:v>
                </c:pt>
                <c:pt idx="58">
                  <c:v>495.08320920387473</c:v>
                </c:pt>
                <c:pt idx="59">
                  <c:v>499.55951646144553</c:v>
                </c:pt>
                <c:pt idx="60">
                  <c:v>504.07045413083262</c:v>
                </c:pt>
                <c:pt idx="61">
                  <c:v>508.61197137333346</c:v>
                </c:pt>
                <c:pt idx="62">
                  <c:v>513.18028111924662</c:v>
                </c:pt>
                <c:pt idx="63">
                  <c:v>517.77184038973553</c:v>
                </c:pt>
                <c:pt idx="64">
                  <c:v>522.38183826911836</c:v>
                </c:pt>
                <c:pt idx="65">
                  <c:v>527.0611003403942</c:v>
                </c:pt>
                <c:pt idx="66">
                  <c:v>531.80368326503435</c:v>
                </c:pt>
                <c:pt idx="67">
                  <c:v>536.60399567253523</c:v>
                </c:pt>
                <c:pt idx="68">
                  <c:v>541.45677428103977</c:v>
                </c:pt>
                <c:pt idx="69">
                  <c:v>546.35706200937545</c:v>
                </c:pt>
                <c:pt idx="70">
                  <c:v>551.30018788245889</c:v>
                </c:pt>
                <c:pt idx="71">
                  <c:v>556.28011461622418</c:v>
                </c:pt>
                <c:pt idx="72">
                  <c:v>561.29438346754796</c:v>
                </c:pt>
                <c:pt idx="73">
                  <c:v>566.33907429556859</c:v>
                </c:pt>
                <c:pt idx="74">
                  <c:v>571.41048750115908</c:v>
                </c:pt>
                <c:pt idx="75">
                  <c:v>576.50513061561753</c:v>
                </c:pt>
                <c:pt idx="76">
                  <c:v>581.61970587994676</c:v>
                </c:pt>
                <c:pt idx="77">
                  <c:v>586.751098726245</c:v>
                </c:pt>
                <c:pt idx="78">
                  <c:v>591.89492773197048</c:v>
                </c:pt>
                <c:pt idx="79">
                  <c:v>597.00945640726229</c:v>
                </c:pt>
                <c:pt idx="80">
                  <c:v>602.09415803848174</c:v>
                </c:pt>
                <c:pt idx="81">
                  <c:v>607.14854829300498</c:v>
                </c:pt>
                <c:pt idx="82">
                  <c:v>612.1721828293721</c:v>
                </c:pt>
                <c:pt idx="83">
                  <c:v>617.16465505794872</c:v>
                </c:pt>
                <c:pt idx="84">
                  <c:v>622.12559404051058</c:v>
                </c:pt>
                <c:pt idx="85">
                  <c:v>625.64895430299907</c:v>
                </c:pt>
                <c:pt idx="86">
                  <c:v>629.21432576224868</c:v>
                </c:pt>
                <c:pt idx="87">
                  <c:v>632.82015514774207</c:v>
                </c:pt>
                <c:pt idx="88">
                  <c:v>636.46495956700221</c:v>
                </c:pt>
                <c:pt idx="89">
                  <c:v>640.14732256025979</c:v>
                </c:pt>
                <c:pt idx="90">
                  <c:v>643.86589041787465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A7-4FBA-BAF0-7C444FF5A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9008495"/>
        <c:axId val="1309007535"/>
      </c:scatterChart>
      <c:valAx>
        <c:axId val="1309008495"/>
        <c:scaling>
          <c:orientation val="minMax"/>
          <c:max val="140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vægt, kg</a:t>
                </a:r>
              </a:p>
            </c:rich>
          </c:tx>
          <c:layout>
            <c:manualLayout>
              <c:xMode val="edge"/>
              <c:yMode val="edge"/>
              <c:x val="0.82117796426644907"/>
              <c:y val="0.914170037449772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309007535"/>
        <c:crosses val="autoZero"/>
        <c:crossBetween val="midCat"/>
        <c:majorUnit val="10"/>
        <c:minorUnit val="5"/>
      </c:valAx>
      <c:valAx>
        <c:axId val="1309007535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Daglig tilvækst, gram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309008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50525174298373"/>
          <c:y val="0.28874911380894902"/>
          <c:w val="0.29349474825701638"/>
          <c:h val="0.2355234075463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Udvikling i foderforbrug i 55 dage</a:t>
            </a:r>
          </a:p>
        </c:rich>
      </c:tx>
      <c:layout>
        <c:manualLayout>
          <c:xMode val="edge"/>
          <c:yMode val="edge"/>
          <c:x val="0.2704564269615562"/>
          <c:y val="2.5022341376228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6279680664916885"/>
          <c:y val="0.12855319358538628"/>
          <c:w val="0.79155315730989906"/>
          <c:h val="0.7180722382892487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'hjælpeark slagtegrisefigur'!$H$3</c:f>
              <c:strCache>
                <c:ptCount val="1"/>
                <c:pt idx="0">
                  <c:v>Ved denne vægt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'hjælpeark slagtegrisefigur'!$G$4:$G$94</c:f>
              <c:numCache>
                <c:formatCode>0.00</c:formatCode>
                <c:ptCount val="91"/>
                <c:pt idx="0">
                  <c:v>6.3</c:v>
                </c:pt>
                <c:pt idx="1">
                  <c:v>6.3206278300663863</c:v>
                </c:pt>
                <c:pt idx="2">
                  <c:v>6.3514322064530626</c:v>
                </c:pt>
                <c:pt idx="3">
                  <c:v>6.3941110577711662</c:v>
                </c:pt>
                <c:pt idx="4">
                  <c:v>6.457564692611605</c:v>
                </c:pt>
                <c:pt idx="5">
                  <c:v>6.5456133084444037</c:v>
                </c:pt>
                <c:pt idx="6">
                  <c:v>6.6590894969892798</c:v>
                </c:pt>
                <c:pt idx="7">
                  <c:v>6.7977716795967984</c:v>
                </c:pt>
                <c:pt idx="8">
                  <c:v>6.963984295861966</c:v>
                </c:pt>
                <c:pt idx="9">
                  <c:v>7.1565300214105543</c:v>
                </c:pt>
                <c:pt idx="10">
                  <c:v>7.3725338045353004</c:v>
                </c:pt>
                <c:pt idx="11">
                  <c:v>7.6177788478407287</c:v>
                </c:pt>
                <c:pt idx="12">
                  <c:v>7.8846496849033603</c:v>
                </c:pt>
                <c:pt idx="13">
                  <c:v>8.1696129903164465</c:v>
                </c:pt>
                <c:pt idx="14">
                  <c:v>8.4708088852503245</c:v>
                </c:pt>
                <c:pt idx="15">
                  <c:v>8.7776816057795877</c:v>
                </c:pt>
                <c:pt idx="16">
                  <c:v>9.0954379102605714</c:v>
                </c:pt>
                <c:pt idx="17">
                  <c:v>9.4244228585023571</c:v>
                </c:pt>
                <c:pt idx="18">
                  <c:v>9.7649887278225496</c:v>
                </c:pt>
                <c:pt idx="19">
                  <c:v>10.117261866673147</c:v>
                </c:pt>
                <c:pt idx="20">
                  <c:v>10.481690258564813</c:v>
                </c:pt>
                <c:pt idx="21">
                  <c:v>10.858613161131505</c:v>
                </c:pt>
                <c:pt idx="22">
                  <c:v>11.248921574623724</c:v>
                </c:pt>
                <c:pt idx="23">
                  <c:v>11.652778860825631</c:v>
                </c:pt>
                <c:pt idx="24">
                  <c:v>12.070599391235149</c:v>
                </c:pt>
                <c:pt idx="25">
                  <c:v>12.502514441003569</c:v>
                </c:pt>
                <c:pt idx="26">
                  <c:v>12.949225193474508</c:v>
                </c:pt>
                <c:pt idx="27">
                  <c:v>13.41179644143004</c:v>
                </c:pt>
                <c:pt idx="28">
                  <c:v>13.889112315694801</c:v>
                </c:pt>
                <c:pt idx="29">
                  <c:v>14.386117634630963</c:v>
                </c:pt>
                <c:pt idx="30">
                  <c:v>14.898889807546123</c:v>
                </c:pt>
                <c:pt idx="31">
                  <c:v>15.427760237975965</c:v>
                </c:pt>
                <c:pt idx="32">
                  <c:v>15.972759706039081</c:v>
                </c:pt>
                <c:pt idx="33">
                  <c:v>16.534222681663476</c:v>
                </c:pt>
                <c:pt idx="34">
                  <c:v>17.112480715547019</c:v>
                </c:pt>
                <c:pt idx="35">
                  <c:v>17.707861794111949</c:v>
                </c:pt>
                <c:pt idx="36">
                  <c:v>18.320689671047663</c:v>
                </c:pt>
                <c:pt idx="37">
                  <c:v>18.951283177248282</c:v>
                </c:pt>
                <c:pt idx="38">
                  <c:v>19.599955511064881</c:v>
                </c:pt>
                <c:pt idx="39">
                  <c:v>20.267013510918158</c:v>
                </c:pt>
                <c:pt idx="40">
                  <c:v>20.952264443228536</c:v>
                </c:pt>
                <c:pt idx="41">
                  <c:v>21.655169654576376</c:v>
                </c:pt>
                <c:pt idx="42">
                  <c:v>22.375875836858516</c:v>
                </c:pt>
                <c:pt idx="43">
                  <c:v>23.121975369093406</c:v>
                </c:pt>
                <c:pt idx="44">
                  <c:v>23.886493066946855</c:v>
                </c:pt>
                <c:pt idx="45">
                  <c:v>24.669531007949168</c:v>
                </c:pt>
                <c:pt idx="46">
                  <c:v>25.471173506445819</c:v>
                </c:pt>
                <c:pt idx="47">
                  <c:v>26.291486580483422</c:v>
                </c:pt>
                <c:pt idx="48">
                  <c:v>27.130517466900123</c:v>
                </c:pt>
                <c:pt idx="49">
                  <c:v>27.988294187932272</c:v>
                </c:pt>
                <c:pt idx="50">
                  <c:v>28.848355455948898</c:v>
                </c:pt>
                <c:pt idx="51">
                  <c:v>29.703133917582701</c:v>
                </c:pt>
                <c:pt idx="52">
                  <c:v>30.552706630019642</c:v>
                </c:pt>
                <c:pt idx="53">
                  <c:v>31.300809897630778</c:v>
                </c:pt>
                <c:pt idx="54">
                  <c:v>32.04863765602947</c:v>
                </c:pt>
                <c:pt idx="55">
                  <c:v>32.790732309066911</c:v>
                </c:pt>
                <c:pt idx="56">
                  <c:v>33.530119867997485</c:v>
                </c:pt>
                <c:pt idx="57">
                  <c:v>34.266814513172214</c:v>
                </c:pt>
                <c:pt idx="58">
                  <c:v>35.014826133824734</c:v>
                </c:pt>
                <c:pt idx="59">
                  <c:v>35.774011471225286</c:v>
                </c:pt>
                <c:pt idx="60">
                  <c:v>36.54422724784996</c:v>
                </c:pt>
                <c:pt idx="61">
                  <c:v>37.325330253773345</c:v>
                </c:pt>
                <c:pt idx="62">
                  <c:v>38.117177429393294</c:v>
                </c:pt>
                <c:pt idx="63">
                  <c:v>38.919625944553339</c:v>
                </c:pt>
                <c:pt idx="64">
                  <c:v>39.73243764922357</c:v>
                </c:pt>
                <c:pt idx="65">
                  <c:v>40.558971522125624</c:v>
                </c:pt>
                <c:pt idx="66">
                  <c:v>41.399043095492267</c:v>
                </c:pt>
                <c:pt idx="67">
                  <c:v>42.252467710059861</c:v>
                </c:pt>
                <c:pt idx="68">
                  <c:v>43.119060651110701</c:v>
                </c:pt>
                <c:pt idx="69">
                  <c:v>43.998637278646903</c:v>
                </c:pt>
                <c:pt idx="70">
                  <c:v>44.891013151772121</c:v>
                </c:pt>
                <c:pt idx="71">
                  <c:v>45.795888137751916</c:v>
                </c:pt>
                <c:pt idx="72">
                  <c:v>46.713195609663451</c:v>
                </c:pt>
                <c:pt idx="73">
                  <c:v>47.642752423576511</c:v>
                </c:pt>
                <c:pt idx="74">
                  <c:v>48.584376075085771</c:v>
                </c:pt>
                <c:pt idx="75">
                  <c:v>49.537884796171305</c:v>
                </c:pt>
                <c:pt idx="76">
                  <c:v>50.503097646875943</c:v>
                </c:pt>
                <c:pt idx="77">
                  <c:v>51.479834601920857</c:v>
                </c:pt>
                <c:pt idx="78">
                  <c:v>52.467804363093698</c:v>
                </c:pt>
                <c:pt idx="79">
                  <c:v>53.463747056173723</c:v>
                </c:pt>
                <c:pt idx="80">
                  <c:v>54.467532643078535</c:v>
                </c:pt>
                <c:pt idx="81">
                  <c:v>55.479032411733407</c:v>
                </c:pt>
                <c:pt idx="82">
                  <c:v>56.498118992008514</c:v>
                </c:pt>
                <c:pt idx="83">
                  <c:v>57.524666369809736</c:v>
                </c:pt>
                <c:pt idx="84">
                  <c:v>58.558549899402891</c:v>
                </c:pt>
                <c:pt idx="85">
                  <c:v>59.480161115754917</c:v>
                </c:pt>
                <c:pt idx="86">
                  <c:v>60.412432015553385</c:v>
                </c:pt>
                <c:pt idx="87">
                  <c:v>61.35535349785355</c:v>
                </c:pt>
                <c:pt idx="88">
                  <c:v>62.308916441896194</c:v>
                </c:pt>
                <c:pt idx="89">
                  <c:v>63.273111707863116</c:v>
                </c:pt>
                <c:pt idx="90">
                  <c:v>64.247930137608719</c:v>
                </c:pt>
              </c:numCache>
            </c:numRef>
          </c:xVal>
          <c:yVal>
            <c:numRef>
              <c:f>'hjælpeark slagtegrisefigur'!$H$4:$H$94</c:f>
              <c:numCache>
                <c:formatCode>0.00</c:formatCode>
                <c:ptCount val="91"/>
                <c:pt idx="0">
                  <c:v>1.6217700827149604</c:v>
                </c:pt>
                <c:pt idx="1">
                  <c:v>1.6220210219432838</c:v>
                </c:pt>
                <c:pt idx="2">
                  <c:v>1.6223956855807389</c:v>
                </c:pt>
                <c:pt idx="3">
                  <c:v>1.6229146289297238</c:v>
                </c:pt>
                <c:pt idx="4">
                  <c:v>1.6236858686204592</c:v>
                </c:pt>
                <c:pt idx="5">
                  <c:v>1.6247554402137798</c:v>
                </c:pt>
                <c:pt idx="6">
                  <c:v>1.6230796297138717</c:v>
                </c:pt>
                <c:pt idx="7">
                  <c:v>1.6216990303508643</c:v>
                </c:pt>
                <c:pt idx="8">
                  <c:v>1.6196170544989388</c:v>
                </c:pt>
                <c:pt idx="9">
                  <c:v>1.6260185832799925</c:v>
                </c:pt>
                <c:pt idx="10">
                  <c:v>1.6204090704582699</c:v>
                </c:pt>
                <c:pt idx="11">
                  <c:v>1.619216707256327</c:v>
                </c:pt>
                <c:pt idx="12">
                  <c:v>1.6182533221784898</c:v>
                </c:pt>
                <c:pt idx="13">
                  <c:v>1.6174736096116775</c:v>
                </c:pt>
                <c:pt idx="14">
                  <c:v>1.5926889529033346</c:v>
                </c:pt>
                <c:pt idx="15">
                  <c:v>1.5920906731444682</c:v>
                </c:pt>
                <c:pt idx="16">
                  <c:v>1.5915850500155109</c:v>
                </c:pt>
                <c:pt idx="17">
                  <c:v>1.5911742875413601</c:v>
                </c:pt>
                <c:pt idx="18">
                  <c:v>1.5919128163285072</c:v>
                </c:pt>
                <c:pt idx="19">
                  <c:v>1.5927558235095196</c:v>
                </c:pt>
                <c:pt idx="20">
                  <c:v>1.5947670726090655</c:v>
                </c:pt>
                <c:pt idx="21">
                  <c:v>1.5947683532206796</c:v>
                </c:pt>
                <c:pt idx="22">
                  <c:v>1.5959485940456157</c:v>
                </c:pt>
                <c:pt idx="23">
                  <c:v>1.597247775459903</c:v>
                </c:pt>
                <c:pt idx="24">
                  <c:v>1.5997466175481874</c:v>
                </c:pt>
                <c:pt idx="25">
                  <c:v>1.6012940350789295</c:v>
                </c:pt>
                <c:pt idx="26">
                  <c:v>1.6007940816202189</c:v>
                </c:pt>
                <c:pt idx="27">
                  <c:v>1.6058746123372221</c:v>
                </c:pt>
                <c:pt idx="28">
                  <c:v>1.5678082674575942</c:v>
                </c:pt>
                <c:pt idx="29">
                  <c:v>1.5732293344581538</c:v>
                </c:pt>
                <c:pt idx="30">
                  <c:v>1.5789266322274822</c:v>
                </c:pt>
                <c:pt idx="31">
                  <c:v>1.5857666623145454</c:v>
                </c:pt>
                <c:pt idx="32">
                  <c:v>1.5927841274367414</c:v>
                </c:pt>
                <c:pt idx="33">
                  <c:v>1.5999847774897025</c:v>
                </c:pt>
                <c:pt idx="34">
                  <c:v>1.6073742084873821</c:v>
                </c:pt>
                <c:pt idx="35">
                  <c:v>1.6149578774968179</c:v>
                </c:pt>
                <c:pt idx="36">
                  <c:v>1.6227411139865302</c:v>
                </c:pt>
                <c:pt idx="37">
                  <c:v>1.6307291282063525</c:v>
                </c:pt>
                <c:pt idx="38">
                  <c:v>1.638927017094671</c:v>
                </c:pt>
                <c:pt idx="39">
                  <c:v>1.6473397681148991</c:v>
                </c:pt>
                <c:pt idx="40">
                  <c:v>1.655966904136863</c:v>
                </c:pt>
                <c:pt idx="41">
                  <c:v>1.6648041204488124</c:v>
                </c:pt>
                <c:pt idx="42">
                  <c:v>1.6738544841170346</c:v>
                </c:pt>
                <c:pt idx="43">
                  <c:v>1.6832020616953645</c:v>
                </c:pt>
                <c:pt idx="44">
                  <c:v>1.6927730338255604</c:v>
                </c:pt>
                <c:pt idx="45">
                  <c:v>1.7025699670460184</c:v>
                </c:pt>
                <c:pt idx="46">
                  <c:v>1.7125952341442019</c:v>
                </c:pt>
                <c:pt idx="47">
                  <c:v>1.7228510110959108</c:v>
                </c:pt>
                <c:pt idx="48">
                  <c:v>1.7333392740251177</c:v>
                </c:pt>
                <c:pt idx="49">
                  <c:v>1.7440617962707785</c:v>
                </c:pt>
                <c:pt idx="50">
                  <c:v>1.7548406602722972</c:v>
                </c:pt>
                <c:pt idx="51">
                  <c:v>1.7655934307227852</c:v>
                </c:pt>
                <c:pt idx="52">
                  <c:v>2.0050707769127118</c:v>
                </c:pt>
                <c:pt idx="53">
                  <c:v>2.0058094703677636</c:v>
                </c:pt>
                <c:pt idx="54">
                  <c:v>2.0213054950071521</c:v>
                </c:pt>
                <c:pt idx="55">
                  <c:v>2.0287060309339728</c:v>
                </c:pt>
                <c:pt idx="56">
                  <c:v>2.0361217633721713</c:v>
                </c:pt>
                <c:pt idx="57">
                  <c:v>2.0435511398426494</c:v>
                </c:pt>
                <c:pt idx="58">
                  <c:v>2.0511460420611489</c:v>
                </c:pt>
                <c:pt idx="59">
                  <c:v>2.058903554208507</c:v>
                </c:pt>
                <c:pt idx="60">
                  <c:v>2.0668208773457932</c:v>
                </c:pt>
                <c:pt idx="61">
                  <c:v>2.0748953214535057</c:v>
                </c:pt>
                <c:pt idx="62">
                  <c:v>2.083124298219448</c:v>
                </c:pt>
                <c:pt idx="63">
                  <c:v>2.0915053144931215</c:v>
                </c:pt>
                <c:pt idx="64">
                  <c:v>2.1000349252542891</c:v>
                </c:pt>
                <c:pt idx="65">
                  <c:v>2.1087488925504312</c:v>
                </c:pt>
                <c:pt idx="66">
                  <c:v>2.1176445688945673</c:v>
                </c:pt>
                <c:pt idx="67">
                  <c:v>2.1267193773412894</c:v>
                </c:pt>
                <c:pt idx="68">
                  <c:v>2.1359708082087208</c:v>
                </c:pt>
                <c:pt idx="69">
                  <c:v>2.1453964160810051</c:v>
                </c:pt>
                <c:pt idx="70">
                  <c:v>2.1549938170614227</c:v>
                </c:pt>
                <c:pt idx="71">
                  <c:v>2.1647594299673512</c:v>
                </c:pt>
                <c:pt idx="72">
                  <c:v>2.174692250912885</c:v>
                </c:pt>
                <c:pt idx="73">
                  <c:v>2.1847900662887785</c:v>
                </c:pt>
                <c:pt idx="74">
                  <c:v>2.1950507150235641</c:v>
                </c:pt>
                <c:pt idx="75">
                  <c:v>2.2054720867484674</c:v>
                </c:pt>
                <c:pt idx="76">
                  <c:v>2.2160521200925229</c:v>
                </c:pt>
                <c:pt idx="77">
                  <c:v>2.2267888010948171</c:v>
                </c:pt>
                <c:pt idx="78">
                  <c:v>2.2376789502897005</c:v>
                </c:pt>
                <c:pt idx="79">
                  <c:v>2.248687398431485</c:v>
                </c:pt>
                <c:pt idx="80">
                  <c:v>2.2598126770110274</c:v>
                </c:pt>
                <c:pt idx="81">
                  <c:v>2.2710533577777277</c:v>
                </c:pt>
                <c:pt idx="82">
                  <c:v>2.2824080511690648</c:v>
                </c:pt>
                <c:pt idx="83">
                  <c:v>2.2938754048371917</c:v>
                </c:pt>
                <c:pt idx="84">
                  <c:v>2.6041349729876506</c:v>
                </c:pt>
                <c:pt idx="85">
                  <c:v>2.6050367983437011</c:v>
                </c:pt>
                <c:pt idx="86">
                  <c:v>2.6059433856633478</c:v>
                </c:pt>
                <c:pt idx="87">
                  <c:v>2.6068546555106429</c:v>
                </c:pt>
                <c:pt idx="88">
                  <c:v>2.6077705302550829</c:v>
                </c:pt>
                <c:pt idx="89">
                  <c:v>2.6086909340271949</c:v>
                </c:pt>
                <c:pt idx="90">
                  <c:v>2.6096157926749237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04-42C9-ACFA-9F9C74942830}"/>
            </c:ext>
          </c:extLst>
        </c:ser>
        <c:ser>
          <c:idx val="1"/>
          <c:order val="1"/>
          <c:tx>
            <c:strRef>
              <c:f>'hjælpeark slagtegrisefigur'!$I$3</c:f>
              <c:strCache>
                <c:ptCount val="1"/>
                <c:pt idx="0">
                  <c:v>Gns. til denne vægt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'hjælpeark slagtegrisefigur'!$G$4:$G$94</c:f>
              <c:numCache>
                <c:formatCode>0.00</c:formatCode>
                <c:ptCount val="91"/>
                <c:pt idx="0">
                  <c:v>6.3</c:v>
                </c:pt>
                <c:pt idx="1">
                  <c:v>6.3206278300663863</c:v>
                </c:pt>
                <c:pt idx="2">
                  <c:v>6.3514322064530626</c:v>
                </c:pt>
                <c:pt idx="3">
                  <c:v>6.3941110577711662</c:v>
                </c:pt>
                <c:pt idx="4">
                  <c:v>6.457564692611605</c:v>
                </c:pt>
                <c:pt idx="5">
                  <c:v>6.5456133084444037</c:v>
                </c:pt>
                <c:pt idx="6">
                  <c:v>6.6590894969892798</c:v>
                </c:pt>
                <c:pt idx="7">
                  <c:v>6.7977716795967984</c:v>
                </c:pt>
                <c:pt idx="8">
                  <c:v>6.963984295861966</c:v>
                </c:pt>
                <c:pt idx="9">
                  <c:v>7.1565300214105543</c:v>
                </c:pt>
                <c:pt idx="10">
                  <c:v>7.3725338045353004</c:v>
                </c:pt>
                <c:pt idx="11">
                  <c:v>7.6177788478407287</c:v>
                </c:pt>
                <c:pt idx="12">
                  <c:v>7.8846496849033603</c:v>
                </c:pt>
                <c:pt idx="13">
                  <c:v>8.1696129903164465</c:v>
                </c:pt>
                <c:pt idx="14">
                  <c:v>8.4708088852503245</c:v>
                </c:pt>
                <c:pt idx="15">
                  <c:v>8.7776816057795877</c:v>
                </c:pt>
                <c:pt idx="16">
                  <c:v>9.0954379102605714</c:v>
                </c:pt>
                <c:pt idx="17">
                  <c:v>9.4244228585023571</c:v>
                </c:pt>
                <c:pt idx="18">
                  <c:v>9.7649887278225496</c:v>
                </c:pt>
                <c:pt idx="19">
                  <c:v>10.117261866673147</c:v>
                </c:pt>
                <c:pt idx="20">
                  <c:v>10.481690258564813</c:v>
                </c:pt>
                <c:pt idx="21">
                  <c:v>10.858613161131505</c:v>
                </c:pt>
                <c:pt idx="22">
                  <c:v>11.248921574623724</c:v>
                </c:pt>
                <c:pt idx="23">
                  <c:v>11.652778860825631</c:v>
                </c:pt>
                <c:pt idx="24">
                  <c:v>12.070599391235149</c:v>
                </c:pt>
                <c:pt idx="25">
                  <c:v>12.502514441003569</c:v>
                </c:pt>
                <c:pt idx="26">
                  <c:v>12.949225193474508</c:v>
                </c:pt>
                <c:pt idx="27">
                  <c:v>13.41179644143004</c:v>
                </c:pt>
                <c:pt idx="28">
                  <c:v>13.889112315694801</c:v>
                </c:pt>
                <c:pt idx="29">
                  <c:v>14.386117634630963</c:v>
                </c:pt>
                <c:pt idx="30">
                  <c:v>14.898889807546123</c:v>
                </c:pt>
                <c:pt idx="31">
                  <c:v>15.427760237975965</c:v>
                </c:pt>
                <c:pt idx="32">
                  <c:v>15.972759706039081</c:v>
                </c:pt>
                <c:pt idx="33">
                  <c:v>16.534222681663476</c:v>
                </c:pt>
                <c:pt idx="34">
                  <c:v>17.112480715547019</c:v>
                </c:pt>
                <c:pt idx="35">
                  <c:v>17.707861794111949</c:v>
                </c:pt>
                <c:pt idx="36">
                  <c:v>18.320689671047663</c:v>
                </c:pt>
                <c:pt idx="37">
                  <c:v>18.951283177248282</c:v>
                </c:pt>
                <c:pt idx="38">
                  <c:v>19.599955511064881</c:v>
                </c:pt>
                <c:pt idx="39">
                  <c:v>20.267013510918158</c:v>
                </c:pt>
                <c:pt idx="40">
                  <c:v>20.952264443228536</c:v>
                </c:pt>
                <c:pt idx="41">
                  <c:v>21.655169654576376</c:v>
                </c:pt>
                <c:pt idx="42">
                  <c:v>22.375875836858516</c:v>
                </c:pt>
                <c:pt idx="43">
                  <c:v>23.121975369093406</c:v>
                </c:pt>
                <c:pt idx="44">
                  <c:v>23.886493066946855</c:v>
                </c:pt>
                <c:pt idx="45">
                  <c:v>24.669531007949168</c:v>
                </c:pt>
                <c:pt idx="46">
                  <c:v>25.471173506445819</c:v>
                </c:pt>
                <c:pt idx="47">
                  <c:v>26.291486580483422</c:v>
                </c:pt>
                <c:pt idx="48">
                  <c:v>27.130517466900123</c:v>
                </c:pt>
                <c:pt idx="49">
                  <c:v>27.988294187932272</c:v>
                </c:pt>
                <c:pt idx="50">
                  <c:v>28.848355455948898</c:v>
                </c:pt>
                <c:pt idx="51">
                  <c:v>29.703133917582701</c:v>
                </c:pt>
                <c:pt idx="52">
                  <c:v>30.552706630019642</c:v>
                </c:pt>
                <c:pt idx="53">
                  <c:v>31.300809897630778</c:v>
                </c:pt>
                <c:pt idx="54">
                  <c:v>32.04863765602947</c:v>
                </c:pt>
                <c:pt idx="55">
                  <c:v>32.790732309066911</c:v>
                </c:pt>
                <c:pt idx="56">
                  <c:v>33.530119867997485</c:v>
                </c:pt>
                <c:pt idx="57">
                  <c:v>34.266814513172214</c:v>
                </c:pt>
                <c:pt idx="58">
                  <c:v>35.014826133824734</c:v>
                </c:pt>
                <c:pt idx="59">
                  <c:v>35.774011471225286</c:v>
                </c:pt>
                <c:pt idx="60">
                  <c:v>36.54422724784996</c:v>
                </c:pt>
                <c:pt idx="61">
                  <c:v>37.325330253773345</c:v>
                </c:pt>
                <c:pt idx="62">
                  <c:v>38.117177429393294</c:v>
                </c:pt>
                <c:pt idx="63">
                  <c:v>38.919625944553339</c:v>
                </c:pt>
                <c:pt idx="64">
                  <c:v>39.73243764922357</c:v>
                </c:pt>
                <c:pt idx="65">
                  <c:v>40.558971522125624</c:v>
                </c:pt>
                <c:pt idx="66">
                  <c:v>41.399043095492267</c:v>
                </c:pt>
                <c:pt idx="67">
                  <c:v>42.252467710059861</c:v>
                </c:pt>
                <c:pt idx="68">
                  <c:v>43.119060651110701</c:v>
                </c:pt>
                <c:pt idx="69">
                  <c:v>43.998637278646903</c:v>
                </c:pt>
                <c:pt idx="70">
                  <c:v>44.891013151772121</c:v>
                </c:pt>
                <c:pt idx="71">
                  <c:v>45.795888137751916</c:v>
                </c:pt>
                <c:pt idx="72">
                  <c:v>46.713195609663451</c:v>
                </c:pt>
                <c:pt idx="73">
                  <c:v>47.642752423576511</c:v>
                </c:pt>
                <c:pt idx="74">
                  <c:v>48.584376075085771</c:v>
                </c:pt>
                <c:pt idx="75">
                  <c:v>49.537884796171305</c:v>
                </c:pt>
                <c:pt idx="76">
                  <c:v>50.503097646875943</c:v>
                </c:pt>
                <c:pt idx="77">
                  <c:v>51.479834601920857</c:v>
                </c:pt>
                <c:pt idx="78">
                  <c:v>52.467804363093698</c:v>
                </c:pt>
                <c:pt idx="79">
                  <c:v>53.463747056173723</c:v>
                </c:pt>
                <c:pt idx="80">
                  <c:v>54.467532643078535</c:v>
                </c:pt>
                <c:pt idx="81">
                  <c:v>55.479032411733407</c:v>
                </c:pt>
                <c:pt idx="82">
                  <c:v>56.498118992008514</c:v>
                </c:pt>
                <c:pt idx="83">
                  <c:v>57.524666369809736</c:v>
                </c:pt>
                <c:pt idx="84">
                  <c:v>58.558549899402891</c:v>
                </c:pt>
                <c:pt idx="85">
                  <c:v>59.480161115754917</c:v>
                </c:pt>
                <c:pt idx="86">
                  <c:v>60.412432015553385</c:v>
                </c:pt>
                <c:pt idx="87">
                  <c:v>61.35535349785355</c:v>
                </c:pt>
                <c:pt idx="88">
                  <c:v>62.308916441896194</c:v>
                </c:pt>
                <c:pt idx="89">
                  <c:v>63.273111707863116</c:v>
                </c:pt>
                <c:pt idx="90">
                  <c:v>64.247930137608719</c:v>
                </c:pt>
              </c:numCache>
            </c:numRef>
          </c:xVal>
          <c:yVal>
            <c:numRef>
              <c:f>'hjælpeark slagtegrisefigur'!$I$4:$I$94</c:f>
              <c:numCache>
                <c:formatCode>General</c:formatCode>
                <c:ptCount val="91"/>
                <c:pt idx="2" formatCode="0.000">
                  <c:v>1.6219203781615703</c:v>
                </c:pt>
                <c:pt idx="3" formatCode="0.000">
                  <c:v>1.6221359274833362</c:v>
                </c:pt>
                <c:pt idx="4" formatCode="0.000">
                  <c:v>1.6224495220863506</c:v>
                </c:pt>
                <c:pt idx="5" formatCode="0.000">
                  <c:v>1.6228927334160099</c:v>
                </c:pt>
                <c:pt idx="6" formatCode="0.000">
                  <c:v>1.6234813690334806</c:v>
                </c:pt>
                <c:pt idx="7" formatCode="0.000">
                  <c:v>1.6233694420437257</c:v>
                </c:pt>
                <c:pt idx="8" formatCode="0.000">
                  <c:v>1.6229512943564379</c:v>
                </c:pt>
                <c:pt idx="9" formatCode="0.000">
                  <c:v>1.6222017658910401</c:v>
                </c:pt>
                <c:pt idx="10" formatCode="0.000">
                  <c:v>1.6229704568097079</c:v>
                </c:pt>
                <c:pt idx="11" formatCode="0.000">
                  <c:v>1.6224937703704703</c:v>
                </c:pt>
                <c:pt idx="12" formatCode="0.000">
                  <c:v>1.621941880205275</c:v>
                </c:pt>
                <c:pt idx="13" formatCode="0.000">
                  <c:v>1.6213796763197841</c:v>
                </c:pt>
                <c:pt idx="14" formatCode="0.000">
                  <c:v>1.6208377164697889</c:v>
                </c:pt>
                <c:pt idx="15" formatCode="0.000">
                  <c:v>1.6173513574335745</c:v>
                </c:pt>
                <c:pt idx="16" formatCode="0.000">
                  <c:v>1.614479985596301</c:v>
                </c:pt>
                <c:pt idx="17" formatCode="0.000">
                  <c:v>1.6120692718299012</c:v>
                </c:pt>
                <c:pt idx="18" formatCode="0.000">
                  <c:v>1.6100155512992922</c:v>
                </c:pt>
                <c:pt idx="19" formatCode="0.000">
                  <c:v>1.6083449540249435</c:v>
                </c:pt>
                <c:pt idx="20" formatCode="0.000">
                  <c:v>1.6069863833481484</c:v>
                </c:pt>
                <c:pt idx="21" formatCode="0.000">
                  <c:v>1.6059760457940848</c:v>
                </c:pt>
                <c:pt idx="22" formatCode="0.000">
                  <c:v>1.605092124592006</c:v>
                </c:pt>
                <c:pt idx="23" formatCode="0.000">
                  <c:v>1.604402262087169</c:v>
                </c:pt>
                <c:pt idx="24" formatCode="0.000">
                  <c:v>1.6038842411339294</c:v>
                </c:pt>
                <c:pt idx="25" formatCode="0.000">
                  <c:v>1.6035961157431773</c:v>
                </c:pt>
                <c:pt idx="26" formatCode="0.000">
                  <c:v>1.6034414564925348</c:v>
                </c:pt>
                <c:pt idx="27" formatCode="0.000">
                  <c:v>1.6032692637830583</c:v>
                </c:pt>
                <c:pt idx="28" formatCode="0.000">
                  <c:v>1.603433126718691</c:v>
                </c:pt>
                <c:pt idx="29" formatCode="0.000">
                  <c:v>1.601243479555597</c:v>
                </c:pt>
                <c:pt idx="30" formatCode="0.000">
                  <c:v>1.5995729297084098</c:v>
                </c:pt>
                <c:pt idx="31" formatCode="0.000">
                  <c:v>1.5983766651319045</c:v>
                </c:pt>
                <c:pt idx="32" formatCode="0.000">
                  <c:v>1.5976661703985926</c:v>
                </c:pt>
                <c:pt idx="33" formatCode="0.000">
                  <c:v>1.5973983350725747</c:v>
                </c:pt>
                <c:pt idx="34" formatCode="0.000">
                  <c:v>1.5975366595835012</c:v>
                </c:pt>
                <c:pt idx="35" formatCode="0.000">
                  <c:v>1.5980500853755153</c:v>
                </c:pt>
                <c:pt idx="36" formatCode="0.000">
                  <c:v>1.5989120630683862</c:v>
                </c:pt>
                <c:pt idx="37" formatCode="0.000">
                  <c:v>1.6000998038340759</c:v>
                </c:pt>
                <c:pt idx="38" formatCode="0.000">
                  <c:v>1.6015936731411771</c:v>
                </c:pt>
                <c:pt idx="39" formatCode="0.000">
                  <c:v>1.6033766960992335</c:v>
                </c:pt>
                <c:pt idx="40" formatCode="0.000">
                  <c:v>1.605432742535106</c:v>
                </c:pt>
                <c:pt idx="41" formatCode="0.000">
                  <c:v>1.6077460172393281</c:v>
                </c:pt>
                <c:pt idx="42" formatCode="0.000">
                  <c:v>1.6103040195621681</c:v>
                </c:pt>
                <c:pt idx="43" formatCode="0.000">
                  <c:v>1.6131226523824735</c:v>
                </c:pt>
                <c:pt idx="44" formatCode="0.000">
                  <c:v>1.6161691351844096</c:v>
                </c:pt>
                <c:pt idx="45" formatCode="0.000">
                  <c:v>1.619434529332946</c:v>
                </c:pt>
                <c:pt idx="46" formatCode="0.000">
                  <c:v>1.622910837133275</c:v>
                </c:pt>
                <c:pt idx="47" formatCode="0.000">
                  <c:v>1.6265908677857759</c:v>
                </c:pt>
                <c:pt idx="48" formatCode="0.000">
                  <c:v>1.6304681230434255</c:v>
                </c:pt>
                <c:pt idx="49" formatCode="0.000">
                  <c:v>1.6345366992907442</c:v>
                </c:pt>
                <c:pt idx="50" formatCode="0.000">
                  <c:v>1.6387143118874732</c:v>
                </c:pt>
                <c:pt idx="51" formatCode="0.000">
                  <c:v>1.64295572253688</c:v>
                </c:pt>
                <c:pt idx="52" formatCode="0.000">
                  <c:v>1.6472517234731872</c:v>
                </c:pt>
                <c:pt idx="53" formatCode="0.000">
                  <c:v>1.6579588007313923</c:v>
                </c:pt>
                <c:pt idx="54" formatCode="0.000">
                  <c:v>1.6680615638370258</c:v>
                </c:pt>
                <c:pt idx="55" formatCode="0.000">
                  <c:v>1.677957116345008</c:v>
                </c:pt>
                <c:pt idx="56" formatCode="0.000">
                  <c:v>1.6874811061405972</c:v>
                </c:pt>
                <c:pt idx="57" formatCode="0.000">
                  <c:v>1.6966649087918331</c:v>
                </c:pt>
                <c:pt idx="58" formatCode="0.000">
                  <c:v>1.7057011791373711</c:v>
                </c:pt>
                <c:pt idx="59" formatCode="0.000">
                  <c:v>1.7145990746636759</c:v>
                </c:pt>
                <c:pt idx="60" formatCode="0.000">
                  <c:v>1.7233673179365081</c:v>
                </c:pt>
                <c:pt idx="61" formatCode="0.000">
                  <c:v>1.7320142076055407</c:v>
                </c:pt>
                <c:pt idx="62" formatCode="0.000">
                  <c:v>1.7405476308539243</c:v>
                </c:pt>
                <c:pt idx="63" formatCode="0.000">
                  <c:v>1.7489750769111905</c:v>
                </c:pt>
                <c:pt idx="64" formatCode="0.000">
                  <c:v>1.7573026954124558</c:v>
                </c:pt>
                <c:pt idx="65" formatCode="0.000">
                  <c:v>1.7655714724572242</c:v>
                </c:pt>
                <c:pt idx="66" formatCode="0.000">
                  <c:v>1.773785189123438</c:v>
                </c:pt>
                <c:pt idx="67" formatCode="0.000">
                  <c:v>1.7819475790048012</c:v>
                </c:pt>
                <c:pt idx="68" formatCode="0.000">
                  <c:v>1.7900623109243075</c:v>
                </c:pt>
                <c:pt idx="69" formatCode="0.000">
                  <c:v>1.798132974784878</c:v>
                </c:pt>
                <c:pt idx="70" formatCode="0.000">
                  <c:v>1.8061630701703595</c:v>
                </c:pt>
                <c:pt idx="71" formatCode="0.000">
                  <c:v>1.8141549962184957</c:v>
                </c:pt>
                <c:pt idx="72" formatCode="0.000">
                  <c:v>1.8221130916353854</c:v>
                </c:pt>
                <c:pt idx="73" formatCode="0.000">
                  <c:v>1.8300405357637362</c:v>
                </c:pt>
                <c:pt idx="74" formatCode="0.000">
                  <c:v>1.8379403933307727</c:v>
                </c:pt>
                <c:pt idx="75" formatCode="0.000">
                  <c:v>1.8458156121979521</c:v>
                </c:pt>
                <c:pt idx="76" formatCode="0.000">
                  <c:v>1.8536690222428434</c:v>
                </c:pt>
                <c:pt idx="77" formatCode="0.000">
                  <c:v>1.8615033351984378</c:v>
                </c:pt>
                <c:pt idx="78" formatCode="0.000">
                  <c:v>1.8693202760185659</c:v>
                </c:pt>
                <c:pt idx="79" formatCode="0.000">
                  <c:v>1.8770987956013299</c:v>
                </c:pt>
                <c:pt idx="80" formatCode="0.000">
                  <c:v>1.8848425031012115</c:v>
                </c:pt>
                <c:pt idx="81" formatCode="0.000">
                  <c:v>1.8925547785479273</c:v>
                </c:pt>
                <c:pt idx="82" formatCode="0.000">
                  <c:v>1.9002387880385556</c:v>
                </c:pt>
                <c:pt idx="83" formatCode="0.000">
                  <c:v>1.907897497850555</c:v>
                </c:pt>
                <c:pt idx="84" formatCode="0.000">
                  <c:v>1.915533687557091</c:v>
                </c:pt>
                <c:pt idx="85" formatCode="0.000">
                  <c:v>1.9274671351987007</c:v>
                </c:pt>
                <c:pt idx="86" formatCode="0.000">
                  <c:v>1.939140579839939</c:v>
                </c:pt>
                <c:pt idx="87" formatCode="0.000">
                  <c:v>1.9505607715219966</c:v>
                </c:pt>
                <c:pt idx="88" formatCode="0.000">
                  <c:v>1.961734305450699</c:v>
                </c:pt>
                <c:pt idx="89" formatCode="0.000">
                  <c:v>1.9726676220789632</c:v>
                </c:pt>
                <c:pt idx="90" formatCode="0.000">
                  <c:v>1.9833670076266896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04-42C9-ACFA-9F9C74942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305455"/>
        <c:axId val="1092472304"/>
      </c:scatterChart>
      <c:valAx>
        <c:axId val="1175305455"/>
        <c:scaling>
          <c:orientation val="minMax"/>
          <c:max val="140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vægt, kg</a:t>
                </a:r>
              </a:p>
            </c:rich>
          </c:tx>
          <c:layout>
            <c:manualLayout>
              <c:xMode val="edge"/>
              <c:yMode val="edge"/>
              <c:x val="0.8104216823280147"/>
              <c:y val="0.917808223033783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92472304"/>
        <c:crosses val="autoZero"/>
        <c:crossBetween val="midCat"/>
        <c:majorUnit val="10"/>
        <c:minorUnit val="5"/>
      </c:valAx>
      <c:valAx>
        <c:axId val="1092472304"/>
        <c:scaling>
          <c:orientation val="minMax"/>
          <c:min val="1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FEsv pr. kg tilvækst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75305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68781566403894"/>
          <c:y val="0.25202495142652626"/>
          <c:w val="0.28131218433596106"/>
          <c:h val="0.31925227528377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249</xdr:row>
      <xdr:rowOff>47624</xdr:rowOff>
    </xdr:from>
    <xdr:ext cx="1825869" cy="505215"/>
    <xdr:pic>
      <xdr:nvPicPr>
        <xdr:cNvPr id="2" name="Billede 1" descr="SEGES Innovation">
          <a:extLst>
            <a:ext uri="{FF2B5EF4-FFF2-40B4-BE49-F238E27FC236}">
              <a16:creationId xmlns:a16="http://schemas.microsoft.com/office/drawing/2014/main" id="{0FF3589F-9E82-460F-9D27-3B5ECF82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361393"/>
          <a:ext cx="1825869" cy="50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93</xdr:row>
      <xdr:rowOff>28289</xdr:rowOff>
    </xdr:from>
    <xdr:to>
      <xdr:col>2</xdr:col>
      <xdr:colOff>180975</xdr:colOff>
      <xdr:row>95</xdr:row>
      <xdr:rowOff>12051</xdr:rowOff>
    </xdr:to>
    <xdr:pic>
      <xdr:nvPicPr>
        <xdr:cNvPr id="2" name="Billede 1" descr="SEGES Innovation">
          <a:extLst>
            <a:ext uri="{FF2B5EF4-FFF2-40B4-BE49-F238E27FC236}">
              <a16:creationId xmlns:a16="http://schemas.microsoft.com/office/drawing/2014/main" id="{E8486F10-A751-4671-8130-A5F2F81F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7744789"/>
          <a:ext cx="1495424" cy="47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760764</xdr:colOff>
      <xdr:row>0</xdr:row>
      <xdr:rowOff>6185</xdr:rowOff>
    </xdr:from>
    <xdr:to>
      <xdr:col>7</xdr:col>
      <xdr:colOff>649433</xdr:colOff>
      <xdr:row>2</xdr:row>
      <xdr:rowOff>27941</xdr:rowOff>
    </xdr:to>
    <xdr:pic>
      <xdr:nvPicPr>
        <xdr:cNvPr id="3" name="Billede 2" descr="SEGES Innovation">
          <a:extLst>
            <a:ext uri="{FF2B5EF4-FFF2-40B4-BE49-F238E27FC236}">
              <a16:creationId xmlns:a16="http://schemas.microsoft.com/office/drawing/2014/main" id="{E90719A2-70E0-4E29-BC5F-DF88D63CF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6" y="6185"/>
          <a:ext cx="1267938" cy="40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28575</xdr:rowOff>
    </xdr:from>
    <xdr:to>
      <xdr:col>2</xdr:col>
      <xdr:colOff>142874</xdr:colOff>
      <xdr:row>95</xdr:row>
      <xdr:rowOff>117112</xdr:rowOff>
    </xdr:to>
    <xdr:pic>
      <xdr:nvPicPr>
        <xdr:cNvPr id="2" name="Billede 1" descr="SEGES Innovation">
          <a:extLst>
            <a:ext uri="{FF2B5EF4-FFF2-40B4-BE49-F238E27FC236}">
              <a16:creationId xmlns:a16="http://schemas.microsoft.com/office/drawing/2014/main" id="{B2EC6563-045E-48A5-B7CF-6AEA0FF0C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45075"/>
          <a:ext cx="1495424" cy="47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547044</xdr:colOff>
      <xdr:row>0</xdr:row>
      <xdr:rowOff>0</xdr:rowOff>
    </xdr:from>
    <xdr:to>
      <xdr:col>7</xdr:col>
      <xdr:colOff>32179</xdr:colOff>
      <xdr:row>2</xdr:row>
      <xdr:rowOff>19081</xdr:rowOff>
    </xdr:to>
    <xdr:pic>
      <xdr:nvPicPr>
        <xdr:cNvPr id="3" name="Billede 2" descr="SEGES Innovation">
          <a:extLst>
            <a:ext uri="{FF2B5EF4-FFF2-40B4-BE49-F238E27FC236}">
              <a16:creationId xmlns:a16="http://schemas.microsoft.com/office/drawing/2014/main" id="{94D58D45-8C8D-4BCD-88F4-1A8F8494C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0"/>
          <a:ext cx="1126267" cy="40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</xdr:colOff>
      <xdr:row>2</xdr:row>
      <xdr:rowOff>35481</xdr:rowOff>
    </xdr:from>
    <xdr:to>
      <xdr:col>18</xdr:col>
      <xdr:colOff>638176</xdr:colOff>
      <xdr:row>4</xdr:row>
      <xdr:rowOff>171450</xdr:rowOff>
    </xdr:to>
    <xdr:pic>
      <xdr:nvPicPr>
        <xdr:cNvPr id="2" name="Billede 1" descr="SEGES Innovation">
          <a:extLst>
            <a:ext uri="{FF2B5EF4-FFF2-40B4-BE49-F238E27FC236}">
              <a16:creationId xmlns:a16="http://schemas.microsoft.com/office/drawing/2014/main" id="{1B97D45F-09D3-46E8-94E9-37BD96812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1" y="511731"/>
          <a:ext cx="1371600" cy="574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3</xdr:row>
      <xdr:rowOff>85724</xdr:rowOff>
    </xdr:from>
    <xdr:to>
      <xdr:col>18</xdr:col>
      <xdr:colOff>504824</xdr:colOff>
      <xdr:row>23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61950B3-032B-7050-7910-155197924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66675</xdr:colOff>
      <xdr:row>25</xdr:row>
      <xdr:rowOff>57150</xdr:rowOff>
    </xdr:from>
    <xdr:to>
      <xdr:col>18</xdr:col>
      <xdr:colOff>571500</xdr:colOff>
      <xdr:row>44</xdr:row>
      <xdr:rowOff>104775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39C5C42-41CF-9F8B-A135-94F29F132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3</xdr:row>
      <xdr:rowOff>85724</xdr:rowOff>
    </xdr:from>
    <xdr:to>
      <xdr:col>18</xdr:col>
      <xdr:colOff>504824</xdr:colOff>
      <xdr:row>23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CB2787E-C544-45CF-A8FF-ABBA27C0B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66675</xdr:colOff>
      <xdr:row>25</xdr:row>
      <xdr:rowOff>57150</xdr:rowOff>
    </xdr:from>
    <xdr:to>
      <xdr:col>18</xdr:col>
      <xdr:colOff>571500</xdr:colOff>
      <xdr:row>44</xdr:row>
      <xdr:rowOff>104775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CC0E08F-D835-484F-9BA8-9D03B30BE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28576</xdr:colOff>
      <xdr:row>1</xdr:row>
      <xdr:rowOff>0</xdr:rowOff>
    </xdr:from>
    <xdr:to>
      <xdr:col>10</xdr:col>
      <xdr:colOff>26472</xdr:colOff>
      <xdr:row>3</xdr:row>
      <xdr:rowOff>76200</xdr:rowOff>
    </xdr:to>
    <xdr:pic>
      <xdr:nvPicPr>
        <xdr:cNvPr id="2" name="Billede 1" descr="SEGES Innovation">
          <a:extLst>
            <a:ext uri="{FF2B5EF4-FFF2-40B4-BE49-F238E27FC236}">
              <a16:creationId xmlns:a16="http://schemas.microsoft.com/office/drawing/2014/main" id="{EEC90EB1-64DC-4979-AD73-68D464C3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6" y="238125"/>
          <a:ext cx="121709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SEGES">
      <a:dk1>
        <a:srgbClr val="000000"/>
      </a:dk1>
      <a:lt1>
        <a:sysClr val="window" lastClr="FFFFFF"/>
      </a:lt1>
      <a:dk2>
        <a:srgbClr val="09562C"/>
      </a:dk2>
      <a:lt2>
        <a:srgbClr val="E7E5DB"/>
      </a:lt2>
      <a:accent1>
        <a:srgbClr val="076471"/>
      </a:accent1>
      <a:accent2>
        <a:srgbClr val="C8C7B2"/>
      </a:accent2>
      <a:accent3>
        <a:srgbClr val="9DDCF9"/>
      </a:accent3>
      <a:accent4>
        <a:srgbClr val="7C9877"/>
      </a:accent4>
      <a:accent5>
        <a:srgbClr val="338291"/>
      </a:accent5>
      <a:accent6>
        <a:srgbClr val="E95D0F"/>
      </a:accent6>
      <a:hlink>
        <a:srgbClr val="076471"/>
      </a:hlink>
      <a:folHlink>
        <a:srgbClr val="E95D0F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@seges.d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t@seges.d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et@seges.dk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et@seges.d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8965-52A8-4392-BA7B-EB10B7889B34}">
  <dimension ref="A1:V253"/>
  <sheetViews>
    <sheetView topLeftCell="A137" zoomScale="148" zoomScaleNormal="148" workbookViewId="0">
      <selection activeCell="G160" sqref="G160"/>
    </sheetView>
  </sheetViews>
  <sheetFormatPr defaultRowHeight="15" x14ac:dyDescent="0.25"/>
  <cols>
    <col min="1" max="1" width="7" customWidth="1"/>
    <col min="2" max="2" width="5.5703125" customWidth="1"/>
    <col min="3" max="3" width="9.140625" customWidth="1"/>
    <col min="4" max="4" width="10.5703125" customWidth="1"/>
    <col min="5" max="5" width="9.140625" customWidth="1"/>
    <col min="6" max="6" width="10.140625" customWidth="1"/>
    <col min="7" max="7" width="9.28515625" customWidth="1"/>
    <col min="8" max="8" width="7.85546875" customWidth="1"/>
    <col min="9" max="9" width="10.7109375" customWidth="1"/>
    <col min="10" max="10" width="10" customWidth="1"/>
    <col min="11" max="11" width="10.5703125" customWidth="1"/>
    <col min="12" max="12" width="9.85546875" customWidth="1"/>
    <col min="13" max="13" width="11.140625" customWidth="1"/>
    <col min="14" max="14" width="11.42578125" customWidth="1"/>
    <col min="15" max="15" width="10" customWidth="1"/>
  </cols>
  <sheetData>
    <row r="1" spans="1:15" ht="18.75" x14ac:dyDescent="0.3">
      <c r="A1" s="147" t="s">
        <v>294</v>
      </c>
      <c r="B1" s="147"/>
      <c r="C1" s="148"/>
      <c r="D1" s="148"/>
      <c r="E1" s="148"/>
      <c r="F1" s="148"/>
      <c r="G1" s="148"/>
      <c r="H1" s="148"/>
      <c r="I1" s="148"/>
      <c r="J1" s="148"/>
      <c r="K1" s="149"/>
    </row>
    <row r="2" spans="1:15" x14ac:dyDescent="0.25">
      <c r="A2" s="107" t="s">
        <v>135</v>
      </c>
      <c r="B2" s="107"/>
      <c r="C2" s="107"/>
      <c r="D2" s="107"/>
      <c r="E2" s="107"/>
      <c r="F2" s="107"/>
      <c r="G2" s="107"/>
      <c r="H2" s="107"/>
      <c r="I2" s="107"/>
      <c r="J2" s="107"/>
      <c r="K2" s="110"/>
    </row>
    <row r="3" spans="1:15" x14ac:dyDescent="0.25">
      <c r="A3" s="96" t="s">
        <v>295</v>
      </c>
      <c r="B3" s="192"/>
      <c r="C3" s="192"/>
      <c r="D3" s="192"/>
      <c r="E3" s="192"/>
      <c r="F3" s="192"/>
      <c r="G3" s="192"/>
      <c r="H3" s="192"/>
      <c r="I3" s="192"/>
      <c r="J3" s="192"/>
      <c r="K3" s="4"/>
    </row>
    <row r="4" spans="1:15" x14ac:dyDescent="0.25">
      <c r="A4" s="161" t="s">
        <v>271</v>
      </c>
      <c r="B4" s="161"/>
      <c r="C4" s="97" t="s">
        <v>357</v>
      </c>
      <c r="D4" s="97"/>
      <c r="E4" s="97"/>
      <c r="F4" s="97"/>
      <c r="G4" s="97"/>
      <c r="H4" s="97"/>
      <c r="I4" s="97"/>
      <c r="J4" s="97"/>
      <c r="K4" s="111"/>
    </row>
    <row r="5" spans="1:15" x14ac:dyDescent="0.25">
      <c r="A5" s="121" t="s">
        <v>293</v>
      </c>
      <c r="B5" s="103"/>
      <c r="G5" s="162"/>
      <c r="H5" s="82" t="s">
        <v>234</v>
      </c>
      <c r="I5" s="78"/>
      <c r="J5" s="78" t="s">
        <v>231</v>
      </c>
      <c r="K5" s="78"/>
    </row>
    <row r="6" spans="1:15" x14ac:dyDescent="0.25">
      <c r="A6" s="137" t="s">
        <v>51</v>
      </c>
      <c r="B6" s="137"/>
      <c r="C6" s="137"/>
      <c r="D6" s="137"/>
      <c r="E6" s="137"/>
      <c r="F6" s="137"/>
      <c r="G6" s="98">
        <v>1</v>
      </c>
      <c r="H6" s="78">
        <v>1.05</v>
      </c>
      <c r="I6" s="139"/>
      <c r="J6" s="100" t="s">
        <v>150</v>
      </c>
      <c r="K6" s="82"/>
      <c r="L6" s="7"/>
      <c r="M6" s="7"/>
      <c r="N6" s="7"/>
      <c r="O6" s="7"/>
    </row>
    <row r="7" spans="1:15" x14ac:dyDescent="0.25">
      <c r="A7" s="137" t="s">
        <v>144</v>
      </c>
      <c r="B7" s="137"/>
      <c r="C7" s="137"/>
      <c r="D7" s="137"/>
      <c r="E7" s="137"/>
      <c r="F7" s="137"/>
      <c r="G7" s="98">
        <v>1.63</v>
      </c>
      <c r="H7" s="78">
        <v>1.63</v>
      </c>
      <c r="I7" s="139" t="s">
        <v>169</v>
      </c>
      <c r="J7" s="141"/>
      <c r="K7" s="141" t="s">
        <v>267</v>
      </c>
      <c r="L7" s="7"/>
      <c r="M7" s="7"/>
      <c r="N7" s="7"/>
      <c r="O7" s="7"/>
    </row>
    <row r="8" spans="1:15" x14ac:dyDescent="0.25">
      <c r="A8" s="137" t="s">
        <v>263</v>
      </c>
      <c r="B8" s="137"/>
      <c r="C8" s="137"/>
      <c r="D8" s="137"/>
      <c r="E8" s="137"/>
      <c r="F8" s="137"/>
      <c r="G8" s="98">
        <v>2.48</v>
      </c>
      <c r="H8" s="78">
        <v>2.48</v>
      </c>
      <c r="I8" s="141" t="s">
        <v>170</v>
      </c>
      <c r="J8" s="141" t="s">
        <v>171</v>
      </c>
      <c r="K8" s="141" t="s">
        <v>268</v>
      </c>
      <c r="L8" s="7"/>
      <c r="M8" s="7"/>
      <c r="N8" s="7"/>
      <c r="O8" s="7"/>
    </row>
    <row r="9" spans="1:15" x14ac:dyDescent="0.25">
      <c r="A9" s="144" t="s">
        <v>232</v>
      </c>
      <c r="B9" s="144"/>
      <c r="C9" s="144"/>
      <c r="D9" s="144"/>
      <c r="E9" s="144"/>
      <c r="F9" s="144"/>
      <c r="G9" s="99">
        <v>1</v>
      </c>
      <c r="H9" s="78">
        <v>1</v>
      </c>
      <c r="I9" s="99">
        <v>280</v>
      </c>
      <c r="J9" s="99">
        <v>500</v>
      </c>
      <c r="K9" s="99">
        <v>9</v>
      </c>
      <c r="L9" s="66" t="s">
        <v>296</v>
      </c>
      <c r="M9" s="7"/>
      <c r="N9" s="7"/>
      <c r="O9" s="7"/>
    </row>
    <row r="10" spans="1:15" x14ac:dyDescent="0.25">
      <c r="A10" s="163" t="s">
        <v>230</v>
      </c>
      <c r="B10" s="88"/>
      <c r="C10" s="78"/>
      <c r="D10" s="78"/>
      <c r="E10" s="78"/>
      <c r="F10" s="78"/>
      <c r="G10" s="78"/>
      <c r="H10" s="137" t="s">
        <v>172</v>
      </c>
      <c r="I10" s="137"/>
      <c r="J10" s="99">
        <v>6.21</v>
      </c>
      <c r="K10" s="137"/>
      <c r="M10" s="7"/>
      <c r="N10" s="7"/>
      <c r="O10" s="7"/>
    </row>
    <row r="11" spans="1:15" x14ac:dyDescent="0.25">
      <c r="A11" s="137" t="s">
        <v>175</v>
      </c>
      <c r="B11" s="137"/>
      <c r="C11" s="137"/>
      <c r="D11" s="137"/>
      <c r="E11" s="137"/>
      <c r="F11" s="137"/>
      <c r="G11" s="99">
        <v>20</v>
      </c>
      <c r="H11" s="137" t="s">
        <v>173</v>
      </c>
      <c r="I11" s="137"/>
      <c r="J11" s="99">
        <v>6.89</v>
      </c>
      <c r="K11" s="137" t="s">
        <v>235</v>
      </c>
      <c r="M11" s="7"/>
      <c r="N11" s="7"/>
      <c r="O11" s="7"/>
    </row>
    <row r="12" spans="1:15" x14ac:dyDescent="0.25">
      <c r="A12" s="105"/>
      <c r="B12" s="105"/>
      <c r="C12" s="137" t="s">
        <v>206</v>
      </c>
      <c r="D12" s="78" t="s">
        <v>67</v>
      </c>
      <c r="E12" s="137" t="s">
        <v>143</v>
      </c>
      <c r="F12" s="78" t="s">
        <v>142</v>
      </c>
      <c r="G12" s="141" t="s">
        <v>217</v>
      </c>
      <c r="H12" s="82" t="s">
        <v>1</v>
      </c>
      <c r="I12" s="141" t="s">
        <v>52</v>
      </c>
      <c r="J12" s="105" t="s">
        <v>18</v>
      </c>
      <c r="K12" s="137" t="s">
        <v>24</v>
      </c>
    </row>
    <row r="13" spans="1:15" x14ac:dyDescent="0.25">
      <c r="A13" s="105" t="s">
        <v>220</v>
      </c>
      <c r="B13" s="105"/>
      <c r="C13" s="137" t="s">
        <v>9</v>
      </c>
      <c r="D13" s="78" t="s">
        <v>205</v>
      </c>
      <c r="E13" s="137" t="s">
        <v>141</v>
      </c>
      <c r="F13" s="78" t="s">
        <v>127</v>
      </c>
      <c r="G13" s="141" t="s">
        <v>221</v>
      </c>
      <c r="H13" s="82" t="s">
        <v>39</v>
      </c>
      <c r="I13" s="141" t="s">
        <v>8</v>
      </c>
      <c r="J13" s="105" t="s">
        <v>126</v>
      </c>
      <c r="K13" s="137" t="s">
        <v>55</v>
      </c>
    </row>
    <row r="14" spans="1:15" x14ac:dyDescent="0.25">
      <c r="A14" s="105" t="s">
        <v>24</v>
      </c>
      <c r="B14" s="105" t="s">
        <v>214</v>
      </c>
      <c r="C14" s="137" t="s">
        <v>140</v>
      </c>
      <c r="D14" s="78" t="s">
        <v>140</v>
      </c>
      <c r="E14" s="137" t="s">
        <v>59</v>
      </c>
      <c r="F14" s="78" t="s">
        <v>39</v>
      </c>
      <c r="G14" s="141" t="s">
        <v>222</v>
      </c>
      <c r="H14" s="82" t="s">
        <v>215</v>
      </c>
      <c r="I14" s="141" t="s">
        <v>215</v>
      </c>
      <c r="J14" s="105" t="s">
        <v>215</v>
      </c>
      <c r="K14" s="99">
        <v>26</v>
      </c>
    </row>
    <row r="15" spans="1:15" x14ac:dyDescent="0.25">
      <c r="A15" s="104">
        <v>0</v>
      </c>
      <c r="B15" s="99">
        <v>13</v>
      </c>
      <c r="C15" s="98">
        <v>10.5</v>
      </c>
      <c r="D15" s="98">
        <v>9.6999999999999993</v>
      </c>
      <c r="E15" s="98">
        <v>1.1499999999999999</v>
      </c>
      <c r="F15" s="98">
        <v>3.5</v>
      </c>
      <c r="G15" s="141" t="s">
        <v>216</v>
      </c>
      <c r="H15" s="98">
        <v>6.3</v>
      </c>
      <c r="I15" s="9">
        <f>VLOOKUP(A15,A27:I86,9,FALSE)</f>
        <v>20.62783006638621</v>
      </c>
      <c r="J15" s="8">
        <f>VLOOKUP(A15,A27:J238,10,FALSE)</f>
        <v>1.6217700827149604</v>
      </c>
      <c r="K15" s="167" t="str">
        <f>IF(B15&lt;1,"slutdato? ", IF(A15&gt;=B15,"slutdato?"," "))</f>
        <v xml:space="preserve"> </v>
      </c>
      <c r="L15" s="193" t="str">
        <f>IF(D15&gt;C15,"effektiv lysin skal være &lt;= ford. lysin"," ")</f>
        <v xml:space="preserve"> </v>
      </c>
      <c r="M15" s="103"/>
    </row>
    <row r="16" spans="1:15" x14ac:dyDescent="0.25">
      <c r="A16" s="104">
        <f>B15+1</f>
        <v>14</v>
      </c>
      <c r="B16" s="99">
        <v>27</v>
      </c>
      <c r="C16" s="98">
        <v>11</v>
      </c>
      <c r="D16" s="98">
        <v>10.1</v>
      </c>
      <c r="E16" s="98">
        <v>1.0900000000000001</v>
      </c>
      <c r="F16" s="98">
        <v>2.7</v>
      </c>
      <c r="G16" s="141" t="s">
        <v>218</v>
      </c>
      <c r="H16" s="8">
        <f>IFERROR(VLOOKUP(A16,A$27:I$238,8,FALSE)," ")</f>
        <v>8.4708088852503245</v>
      </c>
      <c r="I16" s="9">
        <f t="shared" ref="I16:I19" si="0">IFERROR(VLOOKUP(A16,A23:I234,9,FALSE),"  ")</f>
        <v>306.87272052926352</v>
      </c>
      <c r="J16" s="8">
        <f>IFERROR(VLOOKUP(A16,A$27:J$238,10,FALSE),"  ")</f>
        <v>1.5926889529033346</v>
      </c>
      <c r="K16" s="167" t="str">
        <f>IF(B16&lt;1,"slutdato? ", IF(A16&gt;=B16,"slutdato?"," "))</f>
        <v xml:space="preserve"> </v>
      </c>
      <c r="L16" s="193" t="str">
        <f t="shared" ref="L16:L21" si="1">IF(D16&gt;C16,"effektiv lysin skal være &lt;= ford. lysin"," ")</f>
        <v xml:space="preserve"> </v>
      </c>
    </row>
    <row r="17" spans="1:17" x14ac:dyDescent="0.25">
      <c r="A17" s="104">
        <f t="shared" ref="A17:A21" si="2">B16+1</f>
        <v>28</v>
      </c>
      <c r="B17" s="99">
        <v>51</v>
      </c>
      <c r="C17" s="98">
        <v>11.5</v>
      </c>
      <c r="D17" s="98">
        <v>10.9</v>
      </c>
      <c r="E17" s="98">
        <v>1.07</v>
      </c>
      <c r="F17" s="98">
        <v>2.4</v>
      </c>
      <c r="G17" s="141" t="s">
        <v>219</v>
      </c>
      <c r="H17" s="8">
        <f t="shared" ref="H17:H21" si="3">IFERROR(VLOOKUP(A17,A$27:I$238,8,FALSE)," ")</f>
        <v>13.889112315694801</v>
      </c>
      <c r="I17" s="9">
        <f t="shared" si="0"/>
        <v>497.00531893616323</v>
      </c>
      <c r="J17" s="8">
        <f t="shared" ref="J17:J21" si="4">IFERROR(VLOOKUP(A17,A$27:J$238,10,FALSE),"  ")</f>
        <v>1.5678082674575942</v>
      </c>
      <c r="K17" s="167" t="str">
        <f t="shared" ref="K17:K21" si="5">IF(B17&lt;1,"slutdato? ", IF(A17&gt;=B17,"slutdato?"," "))</f>
        <v xml:space="preserve"> </v>
      </c>
      <c r="L17" s="193" t="str">
        <f t="shared" si="1"/>
        <v xml:space="preserve"> </v>
      </c>
    </row>
    <row r="18" spans="1:17" x14ac:dyDescent="0.25">
      <c r="A18" s="104">
        <f t="shared" si="2"/>
        <v>52</v>
      </c>
      <c r="B18" s="99">
        <v>83</v>
      </c>
      <c r="C18" s="98">
        <v>7.7</v>
      </c>
      <c r="D18" s="98">
        <v>7.7</v>
      </c>
      <c r="E18" s="98">
        <v>1.05</v>
      </c>
      <c r="F18" s="98">
        <v>1.9</v>
      </c>
      <c r="G18" s="141" t="s">
        <v>227</v>
      </c>
      <c r="H18" s="8">
        <f t="shared" si="3"/>
        <v>30.552706630019642</v>
      </c>
      <c r="I18" s="9">
        <f t="shared" si="0"/>
        <v>748.10326761113652</v>
      </c>
      <c r="J18" s="8">
        <f t="shared" si="4"/>
        <v>2.0050707769127118</v>
      </c>
      <c r="K18" s="167" t="str">
        <f t="shared" si="5"/>
        <v xml:space="preserve"> </v>
      </c>
      <c r="L18" s="193" t="str">
        <f t="shared" si="1"/>
        <v xml:space="preserve"> </v>
      </c>
    </row>
    <row r="19" spans="1:17" x14ac:dyDescent="0.25">
      <c r="A19" s="104">
        <f t="shared" si="2"/>
        <v>84</v>
      </c>
      <c r="B19" s="99">
        <v>132</v>
      </c>
      <c r="C19" s="98">
        <v>6</v>
      </c>
      <c r="D19" s="98">
        <v>6</v>
      </c>
      <c r="E19" s="98">
        <v>1.03</v>
      </c>
      <c r="F19" s="98">
        <v>1.75</v>
      </c>
      <c r="G19" s="82" t="s">
        <v>236</v>
      </c>
      <c r="H19" s="8">
        <f t="shared" si="3"/>
        <v>58.558549899402891</v>
      </c>
      <c r="I19" s="9">
        <f t="shared" si="0"/>
        <v>921.61121635202642</v>
      </c>
      <c r="J19" s="8">
        <f t="shared" si="4"/>
        <v>2.6041349729876506</v>
      </c>
      <c r="K19" s="167" t="str">
        <f t="shared" si="5"/>
        <v xml:space="preserve"> </v>
      </c>
      <c r="L19" s="193" t="str">
        <f t="shared" si="1"/>
        <v xml:space="preserve"> </v>
      </c>
    </row>
    <row r="20" spans="1:17" x14ac:dyDescent="0.25">
      <c r="A20" s="104">
        <f t="shared" si="2"/>
        <v>133</v>
      </c>
      <c r="B20" s="99">
        <v>210</v>
      </c>
      <c r="C20" s="98">
        <v>4</v>
      </c>
      <c r="D20" s="98">
        <v>4</v>
      </c>
      <c r="E20" s="98">
        <v>1.02</v>
      </c>
      <c r="F20" s="98">
        <v>1.7</v>
      </c>
      <c r="G20" s="82" t="s">
        <v>237</v>
      </c>
      <c r="H20" s="8">
        <f t="shared" si="3"/>
        <v>109.5090681641454</v>
      </c>
      <c r="I20" s="9">
        <f>IFERROR(VLOOKUP(A20,A27:I238,9,FALSE),"  ")</f>
        <v>856.05469180127375</v>
      </c>
      <c r="J20" s="8">
        <f t="shared" si="4"/>
        <v>3.9717088552436581</v>
      </c>
      <c r="K20" s="167" t="str">
        <f t="shared" si="5"/>
        <v xml:space="preserve"> </v>
      </c>
      <c r="L20" s="193" t="str">
        <f t="shared" si="1"/>
        <v xml:space="preserve"> </v>
      </c>
    </row>
    <row r="21" spans="1:17" x14ac:dyDescent="0.25">
      <c r="A21" s="104">
        <f t="shared" si="2"/>
        <v>211</v>
      </c>
      <c r="B21" s="99">
        <v>212</v>
      </c>
      <c r="C21" s="98"/>
      <c r="D21" s="98"/>
      <c r="E21" s="98"/>
      <c r="F21" s="99"/>
      <c r="G21" s="82" t="s">
        <v>238</v>
      </c>
      <c r="H21" s="8">
        <f t="shared" si="3"/>
        <v>175.04258439534206</v>
      </c>
      <c r="I21" s="9" t="str">
        <f>IFERROR(VLOOKUP(A21,A28:I239,9,FALSE),"  ")</f>
        <v xml:space="preserve">  </v>
      </c>
      <c r="J21" s="8" t="str">
        <f t="shared" si="4"/>
        <v xml:space="preserve">  </v>
      </c>
      <c r="K21" s="167" t="str">
        <f t="shared" si="5"/>
        <v xml:space="preserve"> </v>
      </c>
      <c r="L21" s="193" t="str">
        <f t="shared" si="1"/>
        <v xml:space="preserve"> </v>
      </c>
    </row>
    <row r="22" spans="1:17" x14ac:dyDescent="0.25">
      <c r="A22" s="164" t="s">
        <v>225</v>
      </c>
      <c r="B22" s="164"/>
      <c r="C22" s="164"/>
      <c r="D22" s="164"/>
      <c r="E22" s="164"/>
      <c r="F22" s="164"/>
      <c r="G22" s="165" t="str">
        <f>IF(G9=1,"ved ab lib"," ")</f>
        <v>ved ab lib</v>
      </c>
      <c r="H22" s="100" t="s">
        <v>228</v>
      </c>
      <c r="I22" s="156"/>
      <c r="J22" s="155"/>
      <c r="K22" s="155"/>
    </row>
    <row r="23" spans="1:17" x14ac:dyDescent="0.25">
      <c r="A23" s="164" t="s">
        <v>226</v>
      </c>
      <c r="B23" s="164"/>
      <c r="C23" s="164"/>
      <c r="D23" s="164"/>
      <c r="E23" s="164"/>
      <c r="F23" s="164"/>
      <c r="G23" s="165" t="str">
        <f>IF(G9=1, "udfyldes"," ")</f>
        <v>udfyldes</v>
      </c>
      <c r="H23" s="166" t="s">
        <v>229</v>
      </c>
      <c r="I23" s="156"/>
      <c r="J23" s="186">
        <v>3.4</v>
      </c>
      <c r="K23" s="114" t="str">
        <f>IF(G9=1,"ab lib skriv 5"," ")</f>
        <v>ab lib skriv 5</v>
      </c>
      <c r="L23" s="116" t="str">
        <f>IF(J23&lt;0.01,"Der skal indtastes slutfoderstyrke, 5 ved ad lib, fx 3,6 ved vådfoder!"," ")</f>
        <v xml:space="preserve"> </v>
      </c>
    </row>
    <row r="24" spans="1:17" x14ac:dyDescent="0.25">
      <c r="A24" s="80" t="s">
        <v>35</v>
      </c>
      <c r="B24" s="80" t="s">
        <v>213</v>
      </c>
      <c r="C24" s="70" t="s">
        <v>206</v>
      </c>
      <c r="D24" s="70" t="s">
        <v>67</v>
      </c>
      <c r="E24" s="80" t="s">
        <v>143</v>
      </c>
      <c r="F24" s="70" t="s">
        <v>142</v>
      </c>
      <c r="G24" s="165" t="str">
        <f>IF(G9=1, "denne","  ")</f>
        <v>denne</v>
      </c>
      <c r="H24" s="80"/>
      <c r="I24" s="80" t="s">
        <v>52</v>
      </c>
      <c r="J24" s="70"/>
      <c r="K24" s="70" t="s">
        <v>223</v>
      </c>
      <c r="L24" s="196" t="s">
        <v>289</v>
      </c>
      <c r="M24" s="196"/>
      <c r="N24" s="196"/>
      <c r="O24" s="196"/>
      <c r="P24" s="196"/>
      <c r="Q24" s="196"/>
    </row>
    <row r="25" spans="1:17" x14ac:dyDescent="0.25">
      <c r="A25" s="80"/>
      <c r="B25" s="70"/>
      <c r="C25" s="70" t="s">
        <v>9</v>
      </c>
      <c r="D25" s="70" t="s">
        <v>205</v>
      </c>
      <c r="E25" s="80" t="s">
        <v>141</v>
      </c>
      <c r="F25" s="70" t="s">
        <v>127</v>
      </c>
      <c r="G25" s="165" t="str">
        <f>IF(G9=1, "kolonne","  ")</f>
        <v>kolonne</v>
      </c>
      <c r="H25" s="80" t="s">
        <v>1</v>
      </c>
      <c r="I25" s="80" t="s">
        <v>8</v>
      </c>
      <c r="J25" s="70" t="s">
        <v>126</v>
      </c>
      <c r="K25" s="70" t="s">
        <v>224</v>
      </c>
      <c r="L25" s="196" t="s">
        <v>290</v>
      </c>
      <c r="M25" s="196"/>
      <c r="N25" s="197"/>
      <c r="O25" s="197"/>
      <c r="P25" s="197"/>
      <c r="Q25" s="197"/>
    </row>
    <row r="26" spans="1:17" x14ac:dyDescent="0.25">
      <c r="A26" s="80"/>
      <c r="B26" s="70"/>
      <c r="C26" s="70" t="s">
        <v>140</v>
      </c>
      <c r="D26" s="70" t="s">
        <v>140</v>
      </c>
      <c r="E26" s="80" t="s">
        <v>59</v>
      </c>
      <c r="F26" s="70" t="s">
        <v>39</v>
      </c>
      <c r="G26" s="165" t="str">
        <f>IF(G9=1, "ikke","  ")</f>
        <v>ikke</v>
      </c>
      <c r="H26" s="80" t="s">
        <v>39</v>
      </c>
      <c r="I26" s="80" t="s">
        <v>53</v>
      </c>
      <c r="J26" s="70" t="s">
        <v>53</v>
      </c>
      <c r="K26" s="70" t="s">
        <v>50</v>
      </c>
    </row>
    <row r="27" spans="1:17" x14ac:dyDescent="0.25">
      <c r="A27" s="80">
        <v>0</v>
      </c>
      <c r="B27" s="7"/>
      <c r="C27" s="8">
        <f t="shared" ref="C27:C77" si="6">IF($A27&lt;$B$15+1,C$15,IF($A27&lt;$B$16+1,C$16,IF($A27&lt;$B$17+1,C$17,IF($A27&lt;$B$18+1,C$18,IF($A27&lt;$B$19+1,C$19,IF($A27&lt;$B$20+1,C$20,IF(A27&lt;$B$21+1,C$21,"?")))))))</f>
        <v>10.5</v>
      </c>
      <c r="D27" s="8">
        <f t="shared" ref="D27:D77" si="7">IF($A27&lt;$B$15+1,D$15,IF($A27&lt;$B$16+1,D$16,IF($A27&lt;$B$17+1,D$17,IF($A27&lt;$B$18+1,D$18,IF($A27&lt;$B$19+1,D$19,IF($A27&lt;$B$20+1,D$20,IF($A27&lt;$B$21+1,D$21,"?")))))))</f>
        <v>9.6999999999999993</v>
      </c>
      <c r="E27" s="8">
        <f>IF($A27&lt;$B$15+1,E$15,IF($A27&lt;$B$16+1,E$16,IF($A27&lt;$B$17+1,E$17,IF($A27&lt;$B$18+1,E$18,IF($A27&lt;$B$19+1,E$19,IF($A27&lt;$B$20+1,E$20,IF($A27&lt;B$21+1,E$21,"?")))))))</f>
        <v>1.1499999999999999</v>
      </c>
      <c r="F27" s="8">
        <f>IF($A27&lt;$B$15+1,F$15,IF($A27&lt;$B$16+1,F$16,IF($A27&lt;$B$17+1,F$17,IF($A27&lt;$B$18+1,F$18,IF($A27&lt;$B$19+1,F$19,IF($A27&lt;$B$20+1,F$20,F$21))))))</f>
        <v>3.5</v>
      </c>
      <c r="G27" s="113">
        <v>1.5</v>
      </c>
      <c r="H27" s="15">
        <f>H15</f>
        <v>6.3</v>
      </c>
      <c r="I27" s="9">
        <f>beregningsark!U11*1000</f>
        <v>20.62783006638621</v>
      </c>
      <c r="J27" s="106">
        <f>beregningsark!T11</f>
        <v>1.6217700827149604</v>
      </c>
      <c r="K27" s="81">
        <f>beregningsark!H11</f>
        <v>3.3453597672993308E-2</v>
      </c>
      <c r="L27" s="115" t="str">
        <f>IF(G27&gt;J$23,"hvis kolonne G er større end slutfoderstyrke, bruges slutfoderstyrke!"," ")</f>
        <v xml:space="preserve"> </v>
      </c>
    </row>
    <row r="28" spans="1:17" x14ac:dyDescent="0.25">
      <c r="A28" s="80">
        <v>1</v>
      </c>
      <c r="B28" s="7"/>
      <c r="C28" s="8">
        <f t="shared" si="6"/>
        <v>10.5</v>
      </c>
      <c r="D28" s="8">
        <f t="shared" si="7"/>
        <v>9.6999999999999993</v>
      </c>
      <c r="E28" s="8">
        <f t="shared" ref="E28:E91" si="8">IF($A28&lt;$B$15+1,E$15,IF($A28&lt;$B$16+1,E$16,IF($A28&lt;$B$17+1,E$17,IF($A28&lt;$B$18+1,E$18,IF($A28&lt;$B$19+1,E$19,IF($A28&lt;$B$20+1,E$20,IF($A28&lt;B$21+1,E$21,"?")))))))</f>
        <v>1.1499999999999999</v>
      </c>
      <c r="F28" s="8">
        <f t="shared" ref="F28:F90" si="9">IF($A28&lt;$B$15+1,F$15,IF($A28&lt;$B$16+1,F$16,IF($A28&lt;$B$17+1,F$17,IF($A28&lt;$B$18+1,F$18,IF($A28&lt;$B$19+1,F$19,IF($A28&lt;$B$20+1,F$20,F$21))))))</f>
        <v>3.5</v>
      </c>
      <c r="G28" s="120">
        <f>G27+(G$34-G$27)*0.143</f>
        <v>1.5</v>
      </c>
      <c r="H28" s="8">
        <f>beregningsark!B12</f>
        <v>6.3206278300663863</v>
      </c>
      <c r="I28" s="9">
        <f>beregningsark!U12*1000</f>
        <v>30.804376386676292</v>
      </c>
      <c r="J28" s="106">
        <f>beregningsark!T12</f>
        <v>1.6220210219432838</v>
      </c>
      <c r="K28" s="81">
        <f>beregningsark!H12</f>
        <v>4.9965346067042241E-2</v>
      </c>
      <c r="L28" s="115" t="str">
        <f t="shared" ref="L28:L91" si="10">IF(G28&gt;J$23,"hvis kolonne G er større end slutfoderstyrke, bruges slutfoderstyrke!"," ")</f>
        <v xml:space="preserve"> </v>
      </c>
    </row>
    <row r="29" spans="1:17" ht="16.5" customHeight="1" x14ac:dyDescent="0.25">
      <c r="A29" s="80">
        <v>2</v>
      </c>
      <c r="B29" s="7"/>
      <c r="C29" s="8">
        <f t="shared" si="6"/>
        <v>10.5</v>
      </c>
      <c r="D29" s="8">
        <f t="shared" si="7"/>
        <v>9.6999999999999993</v>
      </c>
      <c r="E29" s="8">
        <f t="shared" si="8"/>
        <v>1.1499999999999999</v>
      </c>
      <c r="F29" s="8">
        <f t="shared" si="9"/>
        <v>3.5</v>
      </c>
      <c r="G29" s="120">
        <f t="shared" ref="G29:G33" si="11">G28+(G$34-G$27)*0.143</f>
        <v>1.5</v>
      </c>
      <c r="H29" s="8">
        <f>beregningsark!B13</f>
        <v>6.3514322064530626</v>
      </c>
      <c r="I29" s="9">
        <f>beregningsark!U13*1000</f>
        <v>42.678851318103661</v>
      </c>
      <c r="J29" s="106">
        <f>beregningsark!T13</f>
        <v>1.6223956855807389</v>
      </c>
      <c r="K29" s="81">
        <f>beregningsark!H13</f>
        <v>6.9241984244033203E-2</v>
      </c>
      <c r="L29" s="115" t="str">
        <f t="shared" si="10"/>
        <v xml:space="preserve"> </v>
      </c>
    </row>
    <row r="30" spans="1:17" x14ac:dyDescent="0.25">
      <c r="A30" s="80">
        <v>3</v>
      </c>
      <c r="B30" s="7"/>
      <c r="C30" s="8">
        <f t="shared" si="6"/>
        <v>10.5</v>
      </c>
      <c r="D30" s="8">
        <f t="shared" si="7"/>
        <v>9.6999999999999993</v>
      </c>
      <c r="E30" s="8">
        <f t="shared" si="8"/>
        <v>1.1499999999999999</v>
      </c>
      <c r="F30" s="8">
        <f t="shared" si="9"/>
        <v>3.5</v>
      </c>
      <c r="G30" s="120">
        <f t="shared" si="11"/>
        <v>1.5</v>
      </c>
      <c r="H30" s="8">
        <f>beregningsark!B14</f>
        <v>6.3941110577711662</v>
      </c>
      <c r="I30" s="9">
        <f>beregningsark!U14*1000</f>
        <v>63.453634840438752</v>
      </c>
      <c r="J30" s="106">
        <f>beregningsark!T14</f>
        <v>1.6229146289297238</v>
      </c>
      <c r="K30" s="81">
        <f>beregningsark!H14</f>
        <v>0.10297983224131285</v>
      </c>
      <c r="L30" s="115" t="str">
        <f t="shared" si="10"/>
        <v xml:space="preserve"> </v>
      </c>
    </row>
    <row r="31" spans="1:17" x14ac:dyDescent="0.25">
      <c r="A31" s="80">
        <v>4</v>
      </c>
      <c r="B31" s="7"/>
      <c r="C31" s="8">
        <f t="shared" si="6"/>
        <v>10.5</v>
      </c>
      <c r="D31" s="8">
        <f t="shared" si="7"/>
        <v>9.6999999999999993</v>
      </c>
      <c r="E31" s="8">
        <f t="shared" si="8"/>
        <v>1.1499999999999999</v>
      </c>
      <c r="F31" s="8">
        <f t="shared" si="9"/>
        <v>3.5</v>
      </c>
      <c r="G31" s="120">
        <f t="shared" si="11"/>
        <v>1.5</v>
      </c>
      <c r="H31" s="8">
        <f>beregningsark!B15</f>
        <v>6.457564692611605</v>
      </c>
      <c r="I31" s="9">
        <f>beregningsark!U15*1000</f>
        <v>88.048615832798475</v>
      </c>
      <c r="J31" s="106">
        <f>beregningsark!T15</f>
        <v>1.6236858686204592</v>
      </c>
      <c r="K31" s="81">
        <f>beregningsark!H15</f>
        <v>0.14296329327930651</v>
      </c>
      <c r="L31" s="115" t="str">
        <f t="shared" si="10"/>
        <v xml:space="preserve"> </v>
      </c>
    </row>
    <row r="32" spans="1:17" x14ac:dyDescent="0.25">
      <c r="A32" s="80">
        <v>5</v>
      </c>
      <c r="B32" s="7"/>
      <c r="C32" s="8">
        <f t="shared" si="6"/>
        <v>10.5</v>
      </c>
      <c r="D32" s="8">
        <f t="shared" si="7"/>
        <v>9.6999999999999993</v>
      </c>
      <c r="E32" s="8">
        <f t="shared" si="8"/>
        <v>1.1499999999999999</v>
      </c>
      <c r="F32" s="8">
        <f t="shared" si="9"/>
        <v>3.5</v>
      </c>
      <c r="G32" s="120">
        <f t="shared" si="11"/>
        <v>1.5</v>
      </c>
      <c r="H32" s="8">
        <f>beregningsark!B16</f>
        <v>6.5456133084444037</v>
      </c>
      <c r="I32" s="9">
        <f>beregningsark!U16*1000</f>
        <v>113.47618854487609</v>
      </c>
      <c r="J32" s="106">
        <f>beregningsark!T16</f>
        <v>1.6247554402137798</v>
      </c>
      <c r="K32" s="81">
        <f>beregningsark!H16</f>
        <v>0.18437105467301204</v>
      </c>
      <c r="L32" s="115" t="str">
        <f t="shared" si="10"/>
        <v xml:space="preserve"> </v>
      </c>
    </row>
    <row r="33" spans="1:12" x14ac:dyDescent="0.25">
      <c r="A33" s="80">
        <v>6</v>
      </c>
      <c r="B33" s="7"/>
      <c r="C33" s="8">
        <f t="shared" si="6"/>
        <v>10.5</v>
      </c>
      <c r="D33" s="8">
        <f t="shared" si="7"/>
        <v>9.6999999999999993</v>
      </c>
      <c r="E33" s="8">
        <f t="shared" si="8"/>
        <v>1.1499999999999999</v>
      </c>
      <c r="F33" s="8">
        <f t="shared" si="9"/>
        <v>3.5</v>
      </c>
      <c r="G33" s="120">
        <f t="shared" si="11"/>
        <v>1.5</v>
      </c>
      <c r="H33" s="8">
        <f>beregningsark!B17</f>
        <v>6.6590894969892798</v>
      </c>
      <c r="I33" s="9">
        <f>beregningsark!U17*1000</f>
        <v>138.68218260751866</v>
      </c>
      <c r="J33" s="106">
        <f>beregningsark!T17</f>
        <v>1.6230796297138717</v>
      </c>
      <c r="K33" s="81">
        <f>beregningsark!H17</f>
        <v>0.22509222559452294</v>
      </c>
      <c r="L33" s="115" t="str">
        <f t="shared" si="10"/>
        <v xml:space="preserve"> </v>
      </c>
    </row>
    <row r="34" spans="1:12" x14ac:dyDescent="0.25">
      <c r="A34" s="80">
        <v>7</v>
      </c>
      <c r="B34" s="82">
        <v>1</v>
      </c>
      <c r="C34" s="15">
        <f t="shared" si="6"/>
        <v>10.5</v>
      </c>
      <c r="D34" s="15">
        <f t="shared" si="7"/>
        <v>9.6999999999999993</v>
      </c>
      <c r="E34" s="15">
        <f t="shared" si="8"/>
        <v>1.1499999999999999</v>
      </c>
      <c r="F34" s="15">
        <f t="shared" si="9"/>
        <v>3.5</v>
      </c>
      <c r="G34" s="113">
        <v>1.5</v>
      </c>
      <c r="H34" s="15">
        <f>beregningsark!B18</f>
        <v>6.7977716795967984</v>
      </c>
      <c r="I34" s="108">
        <f>beregningsark!U18*1000</f>
        <v>166.21261626516787</v>
      </c>
      <c r="J34" s="109">
        <f>beregningsark!T18</f>
        <v>1.6216990303508643</v>
      </c>
      <c r="K34" s="81">
        <f>beregningsark!H18</f>
        <v>0.26954683862930301</v>
      </c>
      <c r="L34" s="115" t="str">
        <f t="shared" si="10"/>
        <v xml:space="preserve"> </v>
      </c>
    </row>
    <row r="35" spans="1:12" x14ac:dyDescent="0.25">
      <c r="A35" s="80">
        <v>8</v>
      </c>
      <c r="B35" s="7"/>
      <c r="C35" s="8">
        <f t="shared" si="6"/>
        <v>10.5</v>
      </c>
      <c r="D35" s="8">
        <f t="shared" si="7"/>
        <v>9.6999999999999993</v>
      </c>
      <c r="E35" s="8">
        <f t="shared" si="8"/>
        <v>1.1499999999999999</v>
      </c>
      <c r="F35" s="8">
        <f t="shared" si="9"/>
        <v>3.5</v>
      </c>
      <c r="G35" s="120">
        <f>G34+(G$41-G$34)*0.143</f>
        <v>1.5</v>
      </c>
      <c r="H35" s="8">
        <f>beregningsark!B19</f>
        <v>6.963984295861966</v>
      </c>
      <c r="I35" s="9">
        <f>beregningsark!U19*1000</f>
        <v>192.54572554858836</v>
      </c>
      <c r="J35" s="106">
        <f>beregningsark!T19</f>
        <v>1.6196170544989388</v>
      </c>
      <c r="K35" s="81">
        <f>beregningsark!H19</f>
        <v>0.31185034086936575</v>
      </c>
      <c r="L35" s="115" t="str">
        <f t="shared" si="10"/>
        <v xml:space="preserve"> </v>
      </c>
    </row>
    <row r="36" spans="1:12" x14ac:dyDescent="0.25">
      <c r="A36" s="80">
        <v>9</v>
      </c>
      <c r="B36" s="7"/>
      <c r="C36" s="8">
        <f t="shared" si="6"/>
        <v>10.5</v>
      </c>
      <c r="D36" s="8">
        <f t="shared" si="7"/>
        <v>9.6999999999999993</v>
      </c>
      <c r="E36" s="8">
        <f t="shared" si="8"/>
        <v>1.1499999999999999</v>
      </c>
      <c r="F36" s="8">
        <f t="shared" si="9"/>
        <v>3.5</v>
      </c>
      <c r="G36" s="120">
        <f t="shared" ref="G36:G40" si="12">G35+(G$41-G$34)*0.143</f>
        <v>1.5</v>
      </c>
      <c r="H36" s="8">
        <f>beregningsark!B20</f>
        <v>7.1565300214105543</v>
      </c>
      <c r="I36" s="9">
        <f>beregningsark!U20*1000</f>
        <v>216.00378312474646</v>
      </c>
      <c r="J36" s="106">
        <f>beregningsark!T20</f>
        <v>1.6260185832799925</v>
      </c>
      <c r="K36" s="81">
        <f>beregningsark!H20</f>
        <v>0.35122616541961899</v>
      </c>
      <c r="L36" s="115" t="str">
        <f t="shared" si="10"/>
        <v xml:space="preserve"> </v>
      </c>
    </row>
    <row r="37" spans="1:12" x14ac:dyDescent="0.25">
      <c r="A37" s="80">
        <v>10</v>
      </c>
      <c r="B37" s="7"/>
      <c r="C37" s="8">
        <f t="shared" si="6"/>
        <v>10.5</v>
      </c>
      <c r="D37" s="8">
        <f t="shared" si="7"/>
        <v>9.6999999999999993</v>
      </c>
      <c r="E37" s="8">
        <f t="shared" si="8"/>
        <v>1.1499999999999999</v>
      </c>
      <c r="F37" s="8">
        <f t="shared" si="9"/>
        <v>3.5</v>
      </c>
      <c r="G37" s="120">
        <f t="shared" si="12"/>
        <v>1.5</v>
      </c>
      <c r="H37" s="8">
        <f>beregningsark!B21</f>
        <v>7.3725338045353004</v>
      </c>
      <c r="I37" s="9">
        <f>beregningsark!U21*1000</f>
        <v>245.24504330542874</v>
      </c>
      <c r="J37" s="106">
        <f>beregningsark!T21</f>
        <v>1.6204090704582699</v>
      </c>
      <c r="K37" s="81">
        <f>beregningsark!H21</f>
        <v>0.39739729265704793</v>
      </c>
      <c r="L37" s="115" t="str">
        <f t="shared" si="10"/>
        <v xml:space="preserve"> </v>
      </c>
    </row>
    <row r="38" spans="1:12" x14ac:dyDescent="0.25">
      <c r="A38" s="80">
        <v>11</v>
      </c>
      <c r="B38" s="7"/>
      <c r="C38" s="8">
        <f t="shared" si="6"/>
        <v>10.5</v>
      </c>
      <c r="D38" s="8">
        <f t="shared" si="7"/>
        <v>9.6999999999999993</v>
      </c>
      <c r="E38" s="8">
        <f t="shared" si="8"/>
        <v>1.1499999999999999</v>
      </c>
      <c r="F38" s="8">
        <f t="shared" si="9"/>
        <v>3.5</v>
      </c>
      <c r="G38" s="120">
        <f t="shared" si="12"/>
        <v>1.5</v>
      </c>
      <c r="H38" s="8">
        <f>beregningsark!B22</f>
        <v>7.6177788478407287</v>
      </c>
      <c r="I38" s="9">
        <f>beregningsark!U22*1000</f>
        <v>266.87083706263172</v>
      </c>
      <c r="J38" s="106">
        <f>beregningsark!T22</f>
        <v>1.619216707256327</v>
      </c>
      <c r="K38" s="81">
        <f>beregningsark!H22</f>
        <v>0.43212171805129429</v>
      </c>
      <c r="L38" s="115" t="str">
        <f t="shared" si="10"/>
        <v xml:space="preserve"> </v>
      </c>
    </row>
    <row r="39" spans="1:12" x14ac:dyDescent="0.25">
      <c r="A39" s="80">
        <v>12</v>
      </c>
      <c r="B39" s="7"/>
      <c r="C39" s="8">
        <f t="shared" si="6"/>
        <v>10.5</v>
      </c>
      <c r="D39" s="8">
        <f t="shared" si="7"/>
        <v>9.6999999999999993</v>
      </c>
      <c r="E39" s="8">
        <f t="shared" si="8"/>
        <v>1.1499999999999999</v>
      </c>
      <c r="F39" s="8">
        <f t="shared" si="9"/>
        <v>3.5</v>
      </c>
      <c r="G39" s="120">
        <f t="shared" si="12"/>
        <v>1.5</v>
      </c>
      <c r="H39" s="8">
        <f>beregningsark!B23</f>
        <v>7.8846496849033603</v>
      </c>
      <c r="I39" s="9">
        <f>beregningsark!U23*1000</f>
        <v>284.96330541308669</v>
      </c>
      <c r="J39" s="106">
        <f>beregningsark!T23</f>
        <v>1.6182533221784898</v>
      </c>
      <c r="K39" s="81">
        <f>beregningsark!H23</f>
        <v>0.46114281568369114</v>
      </c>
      <c r="L39" s="115" t="str">
        <f t="shared" si="10"/>
        <v xml:space="preserve"> </v>
      </c>
    </row>
    <row r="40" spans="1:12" x14ac:dyDescent="0.25">
      <c r="A40" s="80">
        <v>13</v>
      </c>
      <c r="B40" s="7"/>
      <c r="C40" s="8">
        <f t="shared" si="6"/>
        <v>10.5</v>
      </c>
      <c r="D40" s="8">
        <f t="shared" si="7"/>
        <v>9.6999999999999993</v>
      </c>
      <c r="E40" s="8">
        <f t="shared" si="8"/>
        <v>1.1499999999999999</v>
      </c>
      <c r="F40" s="8">
        <f t="shared" si="9"/>
        <v>3.5</v>
      </c>
      <c r="G40" s="120">
        <f t="shared" si="12"/>
        <v>1.5</v>
      </c>
      <c r="H40" s="8">
        <f>beregningsark!B24</f>
        <v>8.1696129903164465</v>
      </c>
      <c r="I40" s="9">
        <f>beregningsark!U24*1000</f>
        <v>301.19589493387883</v>
      </c>
      <c r="J40" s="106">
        <f>beregningsark!T24</f>
        <v>1.6174736096116775</v>
      </c>
      <c r="K40" s="81">
        <f>beregningsark!H24</f>
        <v>0.48717641137892054</v>
      </c>
      <c r="L40" s="115" t="str">
        <f t="shared" si="10"/>
        <v xml:space="preserve"> </v>
      </c>
    </row>
    <row r="41" spans="1:12" x14ac:dyDescent="0.25">
      <c r="A41" s="80">
        <v>14</v>
      </c>
      <c r="B41" s="82">
        <v>2</v>
      </c>
      <c r="C41" s="15">
        <f t="shared" si="6"/>
        <v>11</v>
      </c>
      <c r="D41" s="15">
        <f t="shared" si="7"/>
        <v>10.1</v>
      </c>
      <c r="E41" s="15">
        <f t="shared" si="8"/>
        <v>1.0900000000000001</v>
      </c>
      <c r="F41" s="15">
        <f t="shared" si="9"/>
        <v>2.7</v>
      </c>
      <c r="G41" s="113">
        <v>1.5</v>
      </c>
      <c r="H41" s="15">
        <f>beregningsark!B25</f>
        <v>8.4708088852503245</v>
      </c>
      <c r="I41" s="108">
        <f>beregningsark!U25*1000</f>
        <v>306.87272052926352</v>
      </c>
      <c r="J41" s="109">
        <f>beregningsark!T25</f>
        <v>1.5926889529033346</v>
      </c>
      <c r="K41" s="81">
        <f>beregningsark!H25</f>
        <v>0.48875279193435034</v>
      </c>
      <c r="L41" s="115" t="str">
        <f t="shared" si="10"/>
        <v xml:space="preserve"> </v>
      </c>
    </row>
    <row r="42" spans="1:12" x14ac:dyDescent="0.25">
      <c r="A42" s="80">
        <v>15</v>
      </c>
      <c r="B42" s="7"/>
      <c r="C42" s="8">
        <f t="shared" si="6"/>
        <v>11</v>
      </c>
      <c r="D42" s="8">
        <f t="shared" si="7"/>
        <v>10.1</v>
      </c>
      <c r="E42" s="8">
        <f t="shared" si="8"/>
        <v>1.0900000000000001</v>
      </c>
      <c r="F42" s="8">
        <f t="shared" si="9"/>
        <v>2.7</v>
      </c>
      <c r="G42" s="120">
        <f>G41+(G$48-G$41)*0.143</f>
        <v>1.5</v>
      </c>
      <c r="H42" s="8">
        <f>beregningsark!B26</f>
        <v>8.7776816057795877</v>
      </c>
      <c r="I42" s="9">
        <f>beregningsark!U26*1000</f>
        <v>317.75630448098292</v>
      </c>
      <c r="J42" s="106">
        <f>beregningsark!T26</f>
        <v>1.5920906731444682</v>
      </c>
      <c r="K42" s="81">
        <f>beregningsark!H26</f>
        <v>0.50589684869702667</v>
      </c>
      <c r="L42" s="115" t="str">
        <f t="shared" si="10"/>
        <v xml:space="preserve"> </v>
      </c>
    </row>
    <row r="43" spans="1:12" x14ac:dyDescent="0.25">
      <c r="A43" s="80">
        <v>16</v>
      </c>
      <c r="B43" s="7"/>
      <c r="C43" s="8">
        <f t="shared" si="6"/>
        <v>11</v>
      </c>
      <c r="D43" s="8">
        <f t="shared" si="7"/>
        <v>10.1</v>
      </c>
      <c r="E43" s="8">
        <f t="shared" si="8"/>
        <v>1.0900000000000001</v>
      </c>
      <c r="F43" s="8">
        <f t="shared" si="9"/>
        <v>2.7</v>
      </c>
      <c r="G43" s="120">
        <f t="shared" ref="G43:G47" si="13">G42+(G$48-G$41)*0.143</f>
        <v>1.5</v>
      </c>
      <c r="H43" s="8">
        <f>beregningsark!B27</f>
        <v>9.0954379102605714</v>
      </c>
      <c r="I43" s="9">
        <f>beregningsark!U27*1000</f>
        <v>328.9849482417855</v>
      </c>
      <c r="J43" s="106">
        <f>beregningsark!T27</f>
        <v>1.5915850500155109</v>
      </c>
      <c r="K43" s="81">
        <f>beregningsark!H27</f>
        <v>0.52360752530175236</v>
      </c>
      <c r="L43" s="115" t="str">
        <f t="shared" si="10"/>
        <v xml:space="preserve"> </v>
      </c>
    </row>
    <row r="44" spans="1:12" x14ac:dyDescent="0.25">
      <c r="A44" s="80">
        <v>17</v>
      </c>
      <c r="B44" s="7"/>
      <c r="C44" s="8">
        <f t="shared" si="6"/>
        <v>11</v>
      </c>
      <c r="D44" s="8">
        <f t="shared" si="7"/>
        <v>10.1</v>
      </c>
      <c r="E44" s="8">
        <f t="shared" si="8"/>
        <v>1.0900000000000001</v>
      </c>
      <c r="F44" s="8">
        <f t="shared" si="9"/>
        <v>2.7</v>
      </c>
      <c r="G44" s="120">
        <f t="shared" si="13"/>
        <v>1.5</v>
      </c>
      <c r="H44" s="8">
        <f>beregningsark!B28</f>
        <v>9.4244228585023571</v>
      </c>
      <c r="I44" s="9">
        <f>beregningsark!U28*1000</f>
        <v>340.56586932019303</v>
      </c>
      <c r="J44" s="106">
        <f>beregningsark!T28</f>
        <v>1.5911742875413601</v>
      </c>
      <c r="K44" s="81">
        <f>beregningsark!H28</f>
        <v>0.54189965447646204</v>
      </c>
      <c r="L44" s="115" t="str">
        <f t="shared" si="10"/>
        <v xml:space="preserve"> </v>
      </c>
    </row>
    <row r="45" spans="1:12" x14ac:dyDescent="0.25">
      <c r="A45" s="80">
        <v>18</v>
      </c>
      <c r="B45" s="7"/>
      <c r="C45" s="8">
        <f t="shared" si="6"/>
        <v>11</v>
      </c>
      <c r="D45" s="8">
        <f t="shared" si="7"/>
        <v>10.1</v>
      </c>
      <c r="E45" s="8">
        <f t="shared" si="8"/>
        <v>1.0900000000000001</v>
      </c>
      <c r="F45" s="8">
        <f t="shared" si="9"/>
        <v>2.7</v>
      </c>
      <c r="G45" s="120">
        <f t="shared" si="13"/>
        <v>1.5</v>
      </c>
      <c r="H45" s="8">
        <f>beregningsark!B29</f>
        <v>9.7649887278225496</v>
      </c>
      <c r="I45" s="9">
        <f>beregningsark!U29*1000</f>
        <v>352.27313885059647</v>
      </c>
      <c r="J45" s="106">
        <f>beregningsark!T29</f>
        <v>1.5919128163285072</v>
      </c>
      <c r="K45" s="81">
        <f>beregningsark!H29</f>
        <v>0.56078812458453631</v>
      </c>
      <c r="L45" s="115" t="str">
        <f t="shared" si="10"/>
        <v xml:space="preserve"> </v>
      </c>
    </row>
    <row r="46" spans="1:12" x14ac:dyDescent="0.25">
      <c r="A46" s="80">
        <v>19</v>
      </c>
      <c r="B46" s="7"/>
      <c r="C46" s="8">
        <f t="shared" si="6"/>
        <v>11</v>
      </c>
      <c r="D46" s="8">
        <f t="shared" si="7"/>
        <v>10.1</v>
      </c>
      <c r="E46" s="8">
        <f t="shared" si="8"/>
        <v>1.0900000000000001</v>
      </c>
      <c r="F46" s="8">
        <f t="shared" si="9"/>
        <v>2.7</v>
      </c>
      <c r="G46" s="120">
        <f t="shared" si="13"/>
        <v>1.5</v>
      </c>
      <c r="H46" s="8">
        <f>beregningsark!B30</f>
        <v>10.117261866673147</v>
      </c>
      <c r="I46" s="9">
        <f>beregningsark!U30*1000</f>
        <v>364.42839189166568</v>
      </c>
      <c r="J46" s="106">
        <f>beregningsark!T30</f>
        <v>1.5927558235095196</v>
      </c>
      <c r="K46" s="81">
        <f>beregningsark!H30</f>
        <v>0.58044544343765991</v>
      </c>
      <c r="L46" s="115" t="str">
        <f t="shared" si="10"/>
        <v xml:space="preserve"> </v>
      </c>
    </row>
    <row r="47" spans="1:12" x14ac:dyDescent="0.25">
      <c r="A47" s="80">
        <v>20</v>
      </c>
      <c r="B47" s="7"/>
      <c r="C47" s="8">
        <f t="shared" si="6"/>
        <v>11</v>
      </c>
      <c r="D47" s="8">
        <f t="shared" si="7"/>
        <v>10.1</v>
      </c>
      <c r="E47" s="8">
        <f t="shared" si="8"/>
        <v>1.0900000000000001</v>
      </c>
      <c r="F47" s="8">
        <f t="shared" si="9"/>
        <v>2.7</v>
      </c>
      <c r="G47" s="120">
        <f t="shared" si="13"/>
        <v>1.5</v>
      </c>
      <c r="H47" s="8">
        <f>beregningsark!B31</f>
        <v>10.481690258564813</v>
      </c>
      <c r="I47" s="9">
        <f>beregningsark!U31*1000</f>
        <v>376.92290256669213</v>
      </c>
      <c r="J47" s="106">
        <f>beregningsark!T31</f>
        <v>1.5947670726090655</v>
      </c>
      <c r="K47" s="81">
        <f>beregningsark!H31</f>
        <v>0.60110423392559564</v>
      </c>
      <c r="L47" s="115" t="str">
        <f t="shared" si="10"/>
        <v xml:space="preserve"> </v>
      </c>
    </row>
    <row r="48" spans="1:12" x14ac:dyDescent="0.25">
      <c r="A48" s="80">
        <v>21</v>
      </c>
      <c r="B48" s="82">
        <v>3</v>
      </c>
      <c r="C48" s="15">
        <f t="shared" si="6"/>
        <v>11</v>
      </c>
      <c r="D48" s="15">
        <f t="shared" si="7"/>
        <v>10.1</v>
      </c>
      <c r="E48" s="15">
        <f t="shared" si="8"/>
        <v>1.0900000000000001</v>
      </c>
      <c r="F48" s="15">
        <f t="shared" si="9"/>
        <v>2.7</v>
      </c>
      <c r="G48" s="113">
        <v>1.5</v>
      </c>
      <c r="H48" s="15">
        <f>beregningsark!B32</f>
        <v>10.858613161131505</v>
      </c>
      <c r="I48" s="108">
        <f>beregningsark!U32*1000</f>
        <v>390.30841349221856</v>
      </c>
      <c r="J48" s="109">
        <f>beregningsark!T32</f>
        <v>1.5947683532206796</v>
      </c>
      <c r="K48" s="81">
        <f>beregningsark!H32</f>
        <v>0.62245150583316144</v>
      </c>
      <c r="L48" s="115" t="str">
        <f t="shared" si="10"/>
        <v xml:space="preserve"> </v>
      </c>
    </row>
    <row r="49" spans="1:22" x14ac:dyDescent="0.25">
      <c r="A49" s="80">
        <v>22</v>
      </c>
      <c r="B49" s="7"/>
      <c r="C49" s="8">
        <f t="shared" si="6"/>
        <v>11</v>
      </c>
      <c r="D49" s="8">
        <f t="shared" si="7"/>
        <v>10.1</v>
      </c>
      <c r="E49" s="8">
        <f t="shared" si="8"/>
        <v>1.0900000000000001</v>
      </c>
      <c r="F49" s="8">
        <f t="shared" si="9"/>
        <v>2.7</v>
      </c>
      <c r="G49" s="120">
        <f>G48+(G$55-G$48)*0.143</f>
        <v>1.5</v>
      </c>
      <c r="H49" s="8">
        <f>beregningsark!B33</f>
        <v>11.248921574623724</v>
      </c>
      <c r="I49" s="9">
        <f>beregningsark!U33*1000</f>
        <v>403.85728620190781</v>
      </c>
      <c r="J49" s="106">
        <f>beregningsark!T33</f>
        <v>1.5959485940456157</v>
      </c>
      <c r="K49" s="81">
        <f>beregningsark!H33</f>
        <v>0.64453546810901263</v>
      </c>
      <c r="L49" s="115" t="str">
        <f t="shared" si="10"/>
        <v xml:space="preserve"> </v>
      </c>
    </row>
    <row r="50" spans="1:22" x14ac:dyDescent="0.25">
      <c r="A50" s="80">
        <v>23</v>
      </c>
      <c r="B50" s="7"/>
      <c r="C50" s="8">
        <f t="shared" si="6"/>
        <v>11</v>
      </c>
      <c r="D50" s="8">
        <f t="shared" si="7"/>
        <v>10.1</v>
      </c>
      <c r="E50" s="8">
        <f t="shared" si="8"/>
        <v>1.0900000000000001</v>
      </c>
      <c r="F50" s="8">
        <f t="shared" si="9"/>
        <v>2.7</v>
      </c>
      <c r="G50" s="120">
        <f t="shared" ref="G50:G54" si="14">G49+(G$55-G$48)*0.143</f>
        <v>1.5</v>
      </c>
      <c r="H50" s="8">
        <f>beregningsark!B34</f>
        <v>11.652778860825631</v>
      </c>
      <c r="I50" s="9">
        <f>beregningsark!U34*1000</f>
        <v>417.82053040951843</v>
      </c>
      <c r="J50" s="106">
        <f>beregningsark!T34</f>
        <v>1.597247775459903</v>
      </c>
      <c r="K50" s="81">
        <f>beregningsark!H34</f>
        <v>0.66736291273808013</v>
      </c>
      <c r="L50" s="115" t="str">
        <f t="shared" si="10"/>
        <v xml:space="preserve"> </v>
      </c>
    </row>
    <row r="51" spans="1:22" x14ac:dyDescent="0.25">
      <c r="A51" s="80">
        <v>24</v>
      </c>
      <c r="B51" s="7"/>
      <c r="C51" s="8">
        <f t="shared" si="6"/>
        <v>11</v>
      </c>
      <c r="D51" s="8">
        <f t="shared" si="7"/>
        <v>10.1</v>
      </c>
      <c r="E51" s="8">
        <f t="shared" si="8"/>
        <v>1.0900000000000001</v>
      </c>
      <c r="F51" s="8">
        <f t="shared" si="9"/>
        <v>2.7</v>
      </c>
      <c r="G51" s="120">
        <f t="shared" si="14"/>
        <v>1.5</v>
      </c>
      <c r="H51" s="8">
        <f>beregningsark!B35</f>
        <v>12.070599391235149</v>
      </c>
      <c r="I51" s="9">
        <f>beregningsark!U35*1000</f>
        <v>431.91504976841969</v>
      </c>
      <c r="J51" s="106">
        <f>beregningsark!T35</f>
        <v>1.5997466175481874</v>
      </c>
      <c r="K51" s="81">
        <f>beregningsark!H35</f>
        <v>0.69095463993518647</v>
      </c>
      <c r="L51" s="115" t="str">
        <f t="shared" si="10"/>
        <v xml:space="preserve"> </v>
      </c>
    </row>
    <row r="52" spans="1:22" x14ac:dyDescent="0.25">
      <c r="A52" s="80">
        <v>25</v>
      </c>
      <c r="B52" s="7"/>
      <c r="C52" s="8">
        <f t="shared" si="6"/>
        <v>11</v>
      </c>
      <c r="D52" s="8">
        <f t="shared" si="7"/>
        <v>10.1</v>
      </c>
      <c r="E52" s="8">
        <f t="shared" si="8"/>
        <v>1.0900000000000001</v>
      </c>
      <c r="F52" s="8">
        <f t="shared" si="9"/>
        <v>2.7</v>
      </c>
      <c r="G52" s="120">
        <f t="shared" si="14"/>
        <v>1.5</v>
      </c>
      <c r="H52" s="8">
        <f>beregningsark!B36</f>
        <v>12.502514441003569</v>
      </c>
      <c r="I52" s="9">
        <f>beregningsark!U36*1000</f>
        <v>446.71075247093756</v>
      </c>
      <c r="J52" s="106">
        <f>beregningsark!T36</f>
        <v>1.6012940350789295</v>
      </c>
      <c r="K52" s="81">
        <f>beregningsark!H36</f>
        <v>0.71531526333733253</v>
      </c>
      <c r="L52" s="115" t="str">
        <f t="shared" si="10"/>
        <v xml:space="preserve"> </v>
      </c>
    </row>
    <row r="53" spans="1:22" x14ac:dyDescent="0.25">
      <c r="A53" s="80">
        <v>26</v>
      </c>
      <c r="B53" s="7"/>
      <c r="C53" s="8">
        <f t="shared" si="6"/>
        <v>11</v>
      </c>
      <c r="D53" s="8">
        <f t="shared" si="7"/>
        <v>10.1</v>
      </c>
      <c r="E53" s="8">
        <f t="shared" si="8"/>
        <v>1.0900000000000001</v>
      </c>
      <c r="F53" s="8">
        <f t="shared" si="9"/>
        <v>2.7</v>
      </c>
      <c r="G53" s="120">
        <f t="shared" si="14"/>
        <v>1.5</v>
      </c>
      <c r="H53" s="8">
        <f>beregningsark!B37</f>
        <v>12.949225193474508</v>
      </c>
      <c r="I53" s="9">
        <f>beregningsark!U37*1000</f>
        <v>462.57124795553159</v>
      </c>
      <c r="J53" s="106">
        <f>beregningsark!T37</f>
        <v>1.6007940816202189</v>
      </c>
      <c r="K53" s="81">
        <f>beregningsark!H37</f>
        <v>0.74048131605489365</v>
      </c>
      <c r="L53" s="115" t="str">
        <f t="shared" si="10"/>
        <v xml:space="preserve"> </v>
      </c>
    </row>
    <row r="54" spans="1:22" x14ac:dyDescent="0.25">
      <c r="A54" s="80">
        <v>27</v>
      </c>
      <c r="B54" s="7"/>
      <c r="C54" s="8">
        <f t="shared" si="6"/>
        <v>11</v>
      </c>
      <c r="D54" s="8">
        <f t="shared" si="7"/>
        <v>10.1</v>
      </c>
      <c r="E54" s="8">
        <f t="shared" si="8"/>
        <v>1.0900000000000001</v>
      </c>
      <c r="F54" s="8">
        <f t="shared" si="9"/>
        <v>2.7</v>
      </c>
      <c r="G54" s="120">
        <f t="shared" si="14"/>
        <v>1.5</v>
      </c>
      <c r="H54" s="8">
        <f>beregningsark!B38</f>
        <v>13.41179644143004</v>
      </c>
      <c r="I54" s="9">
        <f>beregningsark!U38*1000</f>
        <v>477.3158742647617</v>
      </c>
      <c r="J54" s="106">
        <f>beregningsark!T38</f>
        <v>1.6058746123372221</v>
      </c>
      <c r="K54" s="81">
        <f>beregningsark!H38</f>
        <v>0.76650944454732639</v>
      </c>
      <c r="L54" s="115" t="str">
        <f t="shared" si="10"/>
        <v xml:space="preserve"> </v>
      </c>
    </row>
    <row r="55" spans="1:22" x14ac:dyDescent="0.25">
      <c r="A55" s="80">
        <v>28</v>
      </c>
      <c r="B55" s="82">
        <v>4</v>
      </c>
      <c r="C55" s="15">
        <f t="shared" si="6"/>
        <v>11.5</v>
      </c>
      <c r="D55" s="15">
        <f t="shared" si="7"/>
        <v>10.9</v>
      </c>
      <c r="E55" s="15">
        <f t="shared" si="8"/>
        <v>1.07</v>
      </c>
      <c r="F55" s="15">
        <f t="shared" si="9"/>
        <v>2.4</v>
      </c>
      <c r="G55" s="113">
        <v>1.5</v>
      </c>
      <c r="H55" s="15">
        <f>beregningsark!B39</f>
        <v>13.889112315694801</v>
      </c>
      <c r="I55" s="108">
        <f>beregningsark!U39*1000</f>
        <v>497.00531893616323</v>
      </c>
      <c r="J55" s="109">
        <f>beregningsark!T39</f>
        <v>1.5678082674575942</v>
      </c>
      <c r="K55" s="81">
        <f>beregningsark!H39</f>
        <v>0.77920904799851509</v>
      </c>
      <c r="L55" s="115" t="str">
        <f t="shared" si="10"/>
        <v xml:space="preserve"> </v>
      </c>
    </row>
    <row r="56" spans="1:22" x14ac:dyDescent="0.25">
      <c r="A56" s="80">
        <v>29</v>
      </c>
      <c r="B56" s="7"/>
      <c r="C56" s="8">
        <f t="shared" si="6"/>
        <v>11.5</v>
      </c>
      <c r="D56" s="8">
        <f t="shared" si="7"/>
        <v>10.9</v>
      </c>
      <c r="E56" s="8">
        <f t="shared" si="8"/>
        <v>1.07</v>
      </c>
      <c r="F56" s="8">
        <f t="shared" si="9"/>
        <v>2.4</v>
      </c>
      <c r="G56" s="120">
        <f>G55+(G$62-G$55)*0.143</f>
        <v>1.5</v>
      </c>
      <c r="H56" s="8">
        <f>beregningsark!B40</f>
        <v>14.386117634630963</v>
      </c>
      <c r="I56" s="9">
        <f>beregningsark!U40*1000</f>
        <v>512.77217291516047</v>
      </c>
      <c r="J56" s="106">
        <f>beregningsark!T40</f>
        <v>1.5732293344581538</v>
      </c>
      <c r="K56" s="81">
        <f>beregningsark!H40</f>
        <v>0.80670822432397926</v>
      </c>
      <c r="L56" s="115" t="str">
        <f t="shared" si="10"/>
        <v xml:space="preserve"> </v>
      </c>
    </row>
    <row r="57" spans="1:22" x14ac:dyDescent="0.25">
      <c r="A57" s="80">
        <v>30</v>
      </c>
      <c r="B57" s="7"/>
      <c r="C57" s="8">
        <f t="shared" si="6"/>
        <v>11.5</v>
      </c>
      <c r="D57" s="8">
        <f t="shared" si="7"/>
        <v>10.9</v>
      </c>
      <c r="E57" s="8">
        <f t="shared" si="8"/>
        <v>1.07</v>
      </c>
      <c r="F57" s="8">
        <f t="shared" si="9"/>
        <v>2.4</v>
      </c>
      <c r="G57" s="120">
        <f t="shared" ref="G57:G61" si="15">G56+(G$62-G$55)*0.143</f>
        <v>1.5</v>
      </c>
      <c r="H57" s="8">
        <f>beregningsark!B41</f>
        <v>14.898889807546123</v>
      </c>
      <c r="I57" s="9">
        <f>beregningsark!U41*1000</f>
        <v>528.8704304298418</v>
      </c>
      <c r="J57" s="106">
        <f>beregningsark!T41</f>
        <v>1.5789266322274822</v>
      </c>
      <c r="K57" s="81">
        <f>beregningsark!H41</f>
        <v>0.835047607603289</v>
      </c>
      <c r="L57" s="115" t="str">
        <f t="shared" si="10"/>
        <v xml:space="preserve"> </v>
      </c>
    </row>
    <row r="58" spans="1:22" x14ac:dyDescent="0.25">
      <c r="A58" s="80">
        <v>31</v>
      </c>
      <c r="B58" s="7"/>
      <c r="C58" s="8">
        <f t="shared" si="6"/>
        <v>11.5</v>
      </c>
      <c r="D58" s="8">
        <f t="shared" si="7"/>
        <v>10.9</v>
      </c>
      <c r="E58" s="8">
        <f t="shared" si="8"/>
        <v>1.07</v>
      </c>
      <c r="F58" s="8">
        <f t="shared" si="9"/>
        <v>2.4</v>
      </c>
      <c r="G58" s="120">
        <f t="shared" si="15"/>
        <v>1.5</v>
      </c>
      <c r="H58" s="8">
        <f>beregningsark!B42</f>
        <v>15.427760237975965</v>
      </c>
      <c r="I58" s="9">
        <f>beregningsark!U42*1000</f>
        <v>544.9994680631163</v>
      </c>
      <c r="J58" s="106">
        <f>beregningsark!T42</f>
        <v>1.5857666623145454</v>
      </c>
      <c r="K58" s="81">
        <f>beregningsark!H42</f>
        <v>0.86424198743365055</v>
      </c>
      <c r="L58" s="115" t="str">
        <f t="shared" si="10"/>
        <v xml:space="preserve"> </v>
      </c>
    </row>
    <row r="59" spans="1:22" x14ac:dyDescent="0.25">
      <c r="A59" s="80">
        <v>32</v>
      </c>
      <c r="B59" s="7"/>
      <c r="C59" s="8">
        <f t="shared" si="6"/>
        <v>11.5</v>
      </c>
      <c r="D59" s="8">
        <f t="shared" si="7"/>
        <v>10.9</v>
      </c>
      <c r="E59" s="8">
        <f t="shared" si="8"/>
        <v>1.07</v>
      </c>
      <c r="F59" s="8">
        <f t="shared" si="9"/>
        <v>2.4</v>
      </c>
      <c r="G59" s="120">
        <f t="shared" si="15"/>
        <v>1.5</v>
      </c>
      <c r="H59" s="8">
        <f>beregningsark!B43</f>
        <v>15.972759706039081</v>
      </c>
      <c r="I59" s="9">
        <f>beregningsark!U43*1000</f>
        <v>561.4629756243952</v>
      </c>
      <c r="J59" s="106">
        <f>beregningsark!T43</f>
        <v>1.5927841274367414</v>
      </c>
      <c r="K59" s="81">
        <f>beregningsark!H43</f>
        <v>0.89428931571793868</v>
      </c>
      <c r="L59" s="115" t="str">
        <f t="shared" si="10"/>
        <v xml:space="preserve"> </v>
      </c>
      <c r="P59" s="5"/>
      <c r="U59" s="5"/>
    </row>
    <row r="60" spans="1:22" x14ac:dyDescent="0.25">
      <c r="A60" s="80">
        <v>33</v>
      </c>
      <c r="B60" s="7"/>
      <c r="C60" s="8">
        <f t="shared" si="6"/>
        <v>11.5</v>
      </c>
      <c r="D60" s="8">
        <f t="shared" si="7"/>
        <v>10.9</v>
      </c>
      <c r="E60" s="8">
        <f t="shared" si="8"/>
        <v>1.07</v>
      </c>
      <c r="F60" s="8">
        <f t="shared" si="9"/>
        <v>2.4</v>
      </c>
      <c r="G60" s="120">
        <f t="shared" si="15"/>
        <v>1.5</v>
      </c>
      <c r="H60" s="8">
        <f>beregningsark!B44</f>
        <v>16.534222681663476</v>
      </c>
      <c r="I60" s="9">
        <f>beregningsark!U44*1000</f>
        <v>578.25803388354302</v>
      </c>
      <c r="J60" s="106">
        <f>beregningsark!T44</f>
        <v>1.5999847774897025</v>
      </c>
      <c r="K60" s="81">
        <f>beregningsark!H44</f>
        <v>0.92520405167479347</v>
      </c>
      <c r="L60" s="115" t="str">
        <f t="shared" si="10"/>
        <v xml:space="preserve"> </v>
      </c>
      <c r="N60" s="7"/>
      <c r="O60" s="7"/>
      <c r="P60" s="3"/>
      <c r="R60" s="7"/>
      <c r="T60" s="7"/>
      <c r="U60" s="7"/>
      <c r="V60" s="7"/>
    </row>
    <row r="61" spans="1:22" x14ac:dyDescent="0.25">
      <c r="A61" s="80">
        <v>34</v>
      </c>
      <c r="B61" s="7"/>
      <c r="C61" s="8">
        <f t="shared" si="6"/>
        <v>11.5</v>
      </c>
      <c r="D61" s="8">
        <f t="shared" si="7"/>
        <v>10.9</v>
      </c>
      <c r="E61" s="8">
        <f t="shared" si="8"/>
        <v>1.07</v>
      </c>
      <c r="F61" s="8">
        <f t="shared" si="9"/>
        <v>2.4</v>
      </c>
      <c r="G61" s="120">
        <f t="shared" si="15"/>
        <v>1.5</v>
      </c>
      <c r="H61" s="8">
        <f>beregningsark!B45</f>
        <v>17.112480715547019</v>
      </c>
      <c r="I61" s="9">
        <f>beregningsark!U45*1000</f>
        <v>595.38107856493116</v>
      </c>
      <c r="J61" s="106">
        <f>beregningsark!T45</f>
        <v>1.6073742084873821</v>
      </c>
      <c r="K61" s="81">
        <f>beregningsark!H45</f>
        <v>0.95700018990667002</v>
      </c>
      <c r="L61" s="115" t="str">
        <f t="shared" si="10"/>
        <v xml:space="preserve"> </v>
      </c>
      <c r="N61" s="7"/>
      <c r="O61" s="7"/>
      <c r="R61" s="7"/>
      <c r="T61" s="7"/>
      <c r="U61" s="7"/>
      <c r="V61" s="7"/>
    </row>
    <row r="62" spans="1:22" x14ac:dyDescent="0.25">
      <c r="A62" s="80">
        <v>35</v>
      </c>
      <c r="B62" s="82">
        <v>5</v>
      </c>
      <c r="C62" s="15">
        <f t="shared" si="6"/>
        <v>11.5</v>
      </c>
      <c r="D62" s="15">
        <f t="shared" si="7"/>
        <v>10.9</v>
      </c>
      <c r="E62" s="15">
        <f t="shared" si="8"/>
        <v>1.07</v>
      </c>
      <c r="F62" s="15">
        <f t="shared" si="9"/>
        <v>2.4</v>
      </c>
      <c r="G62" s="113">
        <v>1.5</v>
      </c>
      <c r="H62" s="15">
        <f>beregningsark!B46</f>
        <v>17.707861794111949</v>
      </c>
      <c r="I62" s="108">
        <f>beregningsark!U46*1000</f>
        <v>612.82787693571345</v>
      </c>
      <c r="J62" s="109">
        <f>beregningsark!T46</f>
        <v>1.6149578774968179</v>
      </c>
      <c r="K62" s="81">
        <f>beregningsark!H46</f>
        <v>0.98969120740698091</v>
      </c>
      <c r="L62" s="115" t="str">
        <f t="shared" si="10"/>
        <v xml:space="preserve"> </v>
      </c>
      <c r="N62" s="66"/>
      <c r="O62" s="7"/>
      <c r="P62" s="67"/>
      <c r="Q62" s="7"/>
      <c r="R62" s="7"/>
      <c r="S62" s="7"/>
      <c r="T62" s="7"/>
      <c r="U62" s="7"/>
      <c r="V62" s="7"/>
    </row>
    <row r="63" spans="1:22" x14ac:dyDescent="0.25">
      <c r="A63" s="80">
        <v>36</v>
      </c>
      <c r="B63" s="7"/>
      <c r="C63" s="8">
        <f t="shared" si="6"/>
        <v>11.5</v>
      </c>
      <c r="D63" s="8">
        <f t="shared" si="7"/>
        <v>10.9</v>
      </c>
      <c r="E63" s="8">
        <f t="shared" si="8"/>
        <v>1.07</v>
      </c>
      <c r="F63" s="8">
        <f t="shared" si="9"/>
        <v>2.4</v>
      </c>
      <c r="G63" s="120">
        <f>G62+(G$69-G$62)*0.143</f>
        <v>1.5</v>
      </c>
      <c r="H63" s="8">
        <f>beregningsark!B47</f>
        <v>18.320689671047663</v>
      </c>
      <c r="I63" s="9">
        <f>beregningsark!U47*1000</f>
        <v>630.59350620061821</v>
      </c>
      <c r="J63" s="106">
        <f>beregningsark!T47</f>
        <v>1.6227411139865302</v>
      </c>
      <c r="K63" s="81">
        <f>beregningsark!H47</f>
        <v>1.023290008724663</v>
      </c>
      <c r="L63" s="115" t="str">
        <f t="shared" si="10"/>
        <v xml:space="preserve"> </v>
      </c>
      <c r="N63" s="66"/>
      <c r="O63" s="7"/>
      <c r="P63" s="67"/>
      <c r="Q63" s="7"/>
      <c r="R63" s="7"/>
      <c r="S63" s="7"/>
      <c r="T63" s="7"/>
      <c r="U63" s="7"/>
      <c r="V63" s="7"/>
    </row>
    <row r="64" spans="1:22" x14ac:dyDescent="0.25">
      <c r="A64" s="80">
        <v>37</v>
      </c>
      <c r="B64" s="7"/>
      <c r="C64" s="8">
        <f t="shared" si="6"/>
        <v>11.5</v>
      </c>
      <c r="D64" s="8">
        <f t="shared" si="7"/>
        <v>10.9</v>
      </c>
      <c r="E64" s="8">
        <f t="shared" si="8"/>
        <v>1.07</v>
      </c>
      <c r="F64" s="8">
        <f t="shared" si="9"/>
        <v>2.4</v>
      </c>
      <c r="G64" s="120">
        <f t="shared" ref="G64:G68" si="16">G63+(G$69-G$62)*0.143</f>
        <v>1.5</v>
      </c>
      <c r="H64" s="8">
        <f>beregningsark!B48</f>
        <v>18.951283177248282</v>
      </c>
      <c r="I64" s="9">
        <f>beregningsark!U48*1000</f>
        <v>648.67233381660037</v>
      </c>
      <c r="J64" s="106">
        <f>beregningsark!T48</f>
        <v>1.6307291282063525</v>
      </c>
      <c r="K64" s="81">
        <f>beregningsark!H48</f>
        <v>1.0578088694163248</v>
      </c>
      <c r="L64" s="115" t="str">
        <f t="shared" si="10"/>
        <v xml:space="preserve"> </v>
      </c>
      <c r="N64" s="66"/>
      <c r="O64" s="7"/>
      <c r="P64" s="67"/>
      <c r="Q64" s="7"/>
      <c r="R64" s="7"/>
      <c r="S64" s="7"/>
      <c r="T64" s="7"/>
      <c r="U64" s="7"/>
      <c r="V64" s="7"/>
    </row>
    <row r="65" spans="1:22" x14ac:dyDescent="0.25">
      <c r="A65" s="80">
        <v>38</v>
      </c>
      <c r="B65" s="7"/>
      <c r="C65" s="8">
        <f t="shared" si="6"/>
        <v>11.5</v>
      </c>
      <c r="D65" s="8">
        <f t="shared" si="7"/>
        <v>10.9</v>
      </c>
      <c r="E65" s="8">
        <f t="shared" si="8"/>
        <v>1.07</v>
      </c>
      <c r="F65" s="8">
        <f t="shared" si="9"/>
        <v>2.4</v>
      </c>
      <c r="G65" s="120">
        <f t="shared" si="16"/>
        <v>1.5</v>
      </c>
      <c r="H65" s="8">
        <f>beregningsark!B49</f>
        <v>19.599955511064881</v>
      </c>
      <c r="I65" s="9">
        <f>beregningsark!U49*1000</f>
        <v>667.05799985327667</v>
      </c>
      <c r="J65" s="106">
        <f>beregningsark!T49</f>
        <v>1.638927017094671</v>
      </c>
      <c r="K65" s="81">
        <f>beregningsark!H49</f>
        <v>1.0932593779286681</v>
      </c>
      <c r="L65" s="115" t="str">
        <f t="shared" si="10"/>
        <v xml:space="preserve"> </v>
      </c>
      <c r="N65" s="66"/>
      <c r="O65" s="7"/>
      <c r="P65" s="67"/>
      <c r="Q65" s="7"/>
      <c r="R65" s="7"/>
      <c r="S65" s="7"/>
      <c r="T65" s="7"/>
      <c r="U65" s="7"/>
      <c r="V65" s="7"/>
    </row>
    <row r="66" spans="1:22" x14ac:dyDescent="0.25">
      <c r="A66" s="80">
        <v>39</v>
      </c>
      <c r="B66" s="7"/>
      <c r="C66" s="8">
        <f t="shared" si="6"/>
        <v>11.5</v>
      </c>
      <c r="D66" s="8">
        <f t="shared" si="7"/>
        <v>10.9</v>
      </c>
      <c r="E66" s="8">
        <f t="shared" si="8"/>
        <v>1.07</v>
      </c>
      <c r="F66" s="8">
        <f t="shared" si="9"/>
        <v>2.4</v>
      </c>
      <c r="G66" s="120">
        <f t="shared" si="16"/>
        <v>1.5</v>
      </c>
      <c r="H66" s="8">
        <f>beregningsark!B50</f>
        <v>20.267013510918158</v>
      </c>
      <c r="I66" s="9">
        <f>beregningsark!U50*1000</f>
        <v>685.25093231037897</v>
      </c>
      <c r="J66" s="106">
        <f>beregningsark!T50</f>
        <v>1.6473397681148991</v>
      </c>
      <c r="K66" s="81">
        <f>beregningsark!H50</f>
        <v>1.128841111932698</v>
      </c>
      <c r="L66" s="115" t="str">
        <f t="shared" si="10"/>
        <v xml:space="preserve"> </v>
      </c>
      <c r="N66" s="65"/>
      <c r="O66" s="65"/>
      <c r="P66" s="65"/>
      <c r="Q66" s="65"/>
      <c r="S66" s="67"/>
      <c r="T66" s="7"/>
      <c r="U66" s="7"/>
      <c r="V66" s="7"/>
    </row>
    <row r="67" spans="1:22" x14ac:dyDescent="0.25">
      <c r="A67" s="80">
        <v>40</v>
      </c>
      <c r="B67" s="7"/>
      <c r="C67" s="8">
        <f t="shared" si="6"/>
        <v>11.5</v>
      </c>
      <c r="D67" s="8">
        <f t="shared" si="7"/>
        <v>10.9</v>
      </c>
      <c r="E67" s="8">
        <f t="shared" si="8"/>
        <v>1.07</v>
      </c>
      <c r="F67" s="8">
        <f t="shared" si="9"/>
        <v>2.4</v>
      </c>
      <c r="G67" s="120">
        <f t="shared" si="16"/>
        <v>1.5</v>
      </c>
      <c r="H67" s="8">
        <f>beregningsark!B51</f>
        <v>20.952264443228536</v>
      </c>
      <c r="I67" s="9">
        <f>beregningsark!U51*1000</f>
        <v>702.90521134783967</v>
      </c>
      <c r="J67" s="106">
        <f>beregningsark!T51</f>
        <v>1.655966904136863</v>
      </c>
      <c r="K67" s="81">
        <f>beregningsark!H51</f>
        <v>1.1639877667373495</v>
      </c>
      <c r="L67" s="115" t="str">
        <f t="shared" si="10"/>
        <v xml:space="preserve"> </v>
      </c>
      <c r="N67" s="66"/>
    </row>
    <row r="68" spans="1:22" x14ac:dyDescent="0.25">
      <c r="A68" s="80">
        <v>41</v>
      </c>
      <c r="B68" s="7"/>
      <c r="C68" s="8">
        <f t="shared" si="6"/>
        <v>11.5</v>
      </c>
      <c r="D68" s="8">
        <f t="shared" si="7"/>
        <v>10.9</v>
      </c>
      <c r="E68" s="8">
        <f t="shared" si="8"/>
        <v>1.07</v>
      </c>
      <c r="F68" s="8">
        <f t="shared" si="9"/>
        <v>2.4</v>
      </c>
      <c r="G68" s="120">
        <f t="shared" si="16"/>
        <v>1.5</v>
      </c>
      <c r="H68" s="8">
        <f>beregningsark!B52</f>
        <v>21.655169654576376</v>
      </c>
      <c r="I68" s="9">
        <f>beregningsark!U52*1000</f>
        <v>720.70618228213971</v>
      </c>
      <c r="J68" s="106">
        <f>beregningsark!T52</f>
        <v>1.6648041204488124</v>
      </c>
      <c r="K68" s="81">
        <f>beregningsark!H52</f>
        <v>1.199834621896239</v>
      </c>
      <c r="L68" s="115" t="str">
        <f t="shared" si="10"/>
        <v xml:space="preserve"> </v>
      </c>
      <c r="N68" s="66"/>
    </row>
    <row r="69" spans="1:22" x14ac:dyDescent="0.25">
      <c r="A69" s="80">
        <v>42</v>
      </c>
      <c r="B69" s="82">
        <v>6</v>
      </c>
      <c r="C69" s="15">
        <f t="shared" si="6"/>
        <v>11.5</v>
      </c>
      <c r="D69" s="15">
        <f t="shared" si="7"/>
        <v>10.9</v>
      </c>
      <c r="E69" s="15">
        <f t="shared" si="8"/>
        <v>1.07</v>
      </c>
      <c r="F69" s="15">
        <f t="shared" si="9"/>
        <v>2.4</v>
      </c>
      <c r="G69" s="113">
        <v>1.5</v>
      </c>
      <c r="H69" s="15">
        <f>beregningsark!B53</f>
        <v>22.375875836858516</v>
      </c>
      <c r="I69" s="108">
        <f>beregningsark!U53*1000</f>
        <v>746.09953223488935</v>
      </c>
      <c r="J69" s="109">
        <f>beregningsark!T53</f>
        <v>1.6738544841170346</v>
      </c>
      <c r="K69" s="81">
        <f>beregningsark!H53</f>
        <v>1.2488620476289916</v>
      </c>
      <c r="L69" s="115" t="str">
        <f t="shared" si="10"/>
        <v xml:space="preserve"> </v>
      </c>
    </row>
    <row r="70" spans="1:22" x14ac:dyDescent="0.25">
      <c r="A70" s="80">
        <v>43</v>
      </c>
      <c r="B70" s="7"/>
      <c r="C70" s="8">
        <f t="shared" si="6"/>
        <v>11.5</v>
      </c>
      <c r="D70" s="8">
        <f t="shared" si="7"/>
        <v>10.9</v>
      </c>
      <c r="E70" s="8">
        <f t="shared" si="8"/>
        <v>1.07</v>
      </c>
      <c r="F70" s="8">
        <f t="shared" si="9"/>
        <v>2.4</v>
      </c>
      <c r="G70" s="120">
        <f>G69+(G$76-G$69)*0.143</f>
        <v>1.5</v>
      </c>
      <c r="H70" s="8">
        <f>beregningsark!B54</f>
        <v>23.121975369093406</v>
      </c>
      <c r="I70" s="9">
        <f>beregningsark!U54*1000</f>
        <v>764.51769785344914</v>
      </c>
      <c r="J70" s="106">
        <f>beregningsark!T54</f>
        <v>1.6832020616953645</v>
      </c>
      <c r="K70" s="81">
        <f>beregningsark!H54</f>
        <v>1.2868377652295193</v>
      </c>
      <c r="L70" s="115" t="str">
        <f t="shared" si="10"/>
        <v xml:space="preserve"> </v>
      </c>
    </row>
    <row r="71" spans="1:22" x14ac:dyDescent="0.25">
      <c r="A71" s="80">
        <v>44</v>
      </c>
      <c r="B71" s="7"/>
      <c r="C71" s="8">
        <f t="shared" si="6"/>
        <v>11.5</v>
      </c>
      <c r="D71" s="8">
        <f t="shared" si="7"/>
        <v>10.9</v>
      </c>
      <c r="E71" s="8">
        <f t="shared" si="8"/>
        <v>1.07</v>
      </c>
      <c r="F71" s="8">
        <f t="shared" si="9"/>
        <v>2.4</v>
      </c>
      <c r="G71" s="120">
        <f t="shared" ref="G71:G75" si="17">G70+(G$76-G$69)*0.143</f>
        <v>1.5</v>
      </c>
      <c r="H71" s="8">
        <f>beregningsark!B55</f>
        <v>23.886493066946855</v>
      </c>
      <c r="I71" s="9">
        <f>beregningsark!U55*1000</f>
        <v>783.03794100231187</v>
      </c>
      <c r="J71" s="106">
        <f>beregningsark!T55</f>
        <v>1.6927730338255604</v>
      </c>
      <c r="K71" s="81">
        <f>beregningsark!H55</f>
        <v>1.3255055109910037</v>
      </c>
      <c r="L71" s="115" t="str">
        <f t="shared" si="10"/>
        <v xml:space="preserve"> </v>
      </c>
    </row>
    <row r="72" spans="1:22" x14ac:dyDescent="0.25">
      <c r="A72" s="80">
        <v>45</v>
      </c>
      <c r="B72" s="7"/>
      <c r="C72" s="8">
        <f t="shared" si="6"/>
        <v>11.5</v>
      </c>
      <c r="D72" s="8">
        <f t="shared" si="7"/>
        <v>10.9</v>
      </c>
      <c r="E72" s="8">
        <f t="shared" si="8"/>
        <v>1.07</v>
      </c>
      <c r="F72" s="8">
        <f t="shared" si="9"/>
        <v>2.4</v>
      </c>
      <c r="G72" s="120">
        <f t="shared" si="17"/>
        <v>1.5</v>
      </c>
      <c r="H72" s="8">
        <f>beregningsark!B56</f>
        <v>24.669531007949168</v>
      </c>
      <c r="I72" s="9">
        <f>beregningsark!U56*1000</f>
        <v>801.64249849664975</v>
      </c>
      <c r="J72" s="106">
        <f>beregningsark!T56</f>
        <v>1.7025699670460184</v>
      </c>
      <c r="K72" s="81">
        <f>beregningsark!H56</f>
        <v>1.3648524422481287</v>
      </c>
      <c r="L72" s="115" t="str">
        <f t="shared" si="10"/>
        <v xml:space="preserve"> </v>
      </c>
    </row>
    <row r="73" spans="1:22" x14ac:dyDescent="0.25">
      <c r="A73" s="80">
        <v>46</v>
      </c>
      <c r="B73" s="7"/>
      <c r="C73" s="8">
        <f t="shared" si="6"/>
        <v>11.5</v>
      </c>
      <c r="D73" s="8">
        <f t="shared" si="7"/>
        <v>10.9</v>
      </c>
      <c r="E73" s="8">
        <f t="shared" si="8"/>
        <v>1.07</v>
      </c>
      <c r="F73" s="8">
        <f t="shared" si="9"/>
        <v>2.4</v>
      </c>
      <c r="G73" s="120">
        <f t="shared" si="17"/>
        <v>1.5</v>
      </c>
      <c r="H73" s="8">
        <f>beregningsark!B57</f>
        <v>25.471173506445819</v>
      </c>
      <c r="I73" s="9">
        <f>beregningsark!U57*1000</f>
        <v>820.31307403760309</v>
      </c>
      <c r="J73" s="106">
        <f>beregningsark!T57</f>
        <v>1.7125952341442019</v>
      </c>
      <c r="K73" s="81">
        <f>beregningsark!H57</f>
        <v>1.4048642611029789</v>
      </c>
      <c r="L73" s="115" t="str">
        <f t="shared" si="10"/>
        <v xml:space="preserve"> </v>
      </c>
    </row>
    <row r="74" spans="1:22" x14ac:dyDescent="0.25">
      <c r="A74" s="80">
        <v>47</v>
      </c>
      <c r="B74" s="7"/>
      <c r="C74" s="8">
        <f t="shared" si="6"/>
        <v>11.5</v>
      </c>
      <c r="D74" s="8">
        <f t="shared" si="7"/>
        <v>10.9</v>
      </c>
      <c r="E74" s="8">
        <f t="shared" si="8"/>
        <v>1.07</v>
      </c>
      <c r="F74" s="8">
        <f t="shared" si="9"/>
        <v>2.4</v>
      </c>
      <c r="G74" s="120">
        <f t="shared" si="17"/>
        <v>1.5</v>
      </c>
      <c r="H74" s="8">
        <f>beregningsark!B58</f>
        <v>26.291486580483422</v>
      </c>
      <c r="I74" s="9">
        <f>beregningsark!U58*1000</f>
        <v>839.03088641669956</v>
      </c>
      <c r="J74" s="106">
        <f>beregningsark!T58</f>
        <v>1.7228510110959108</v>
      </c>
      <c r="K74" s="81">
        <f>beregningsark!H58</f>
        <v>1.4455252110037091</v>
      </c>
      <c r="L74" s="115" t="str">
        <f t="shared" si="10"/>
        <v xml:space="preserve"> </v>
      </c>
    </row>
    <row r="75" spans="1:22" x14ac:dyDescent="0.25">
      <c r="A75" s="80">
        <v>48</v>
      </c>
      <c r="B75" s="7"/>
      <c r="C75" s="8">
        <f t="shared" si="6"/>
        <v>11.5</v>
      </c>
      <c r="D75" s="8">
        <f t="shared" si="7"/>
        <v>10.9</v>
      </c>
      <c r="E75" s="8">
        <f t="shared" si="8"/>
        <v>1.07</v>
      </c>
      <c r="F75" s="8">
        <f t="shared" si="9"/>
        <v>2.4</v>
      </c>
      <c r="G75" s="120">
        <f t="shared" si="17"/>
        <v>1.5</v>
      </c>
      <c r="H75" s="8">
        <f>beregningsark!B59</f>
        <v>27.130517466900123</v>
      </c>
      <c r="I75" s="9">
        <f>beregningsark!U59*1000</f>
        <v>857.77672103215014</v>
      </c>
      <c r="J75" s="106">
        <f>beregningsark!T59</f>
        <v>1.7333392740251177</v>
      </c>
      <c r="K75" s="81">
        <f>beregningsark!H59</f>
        <v>1.4868180789095131</v>
      </c>
      <c r="L75" s="115" t="str">
        <f t="shared" si="10"/>
        <v xml:space="preserve"> </v>
      </c>
    </row>
    <row r="76" spans="1:22" x14ac:dyDescent="0.25">
      <c r="A76" s="80">
        <v>49</v>
      </c>
      <c r="B76" s="82">
        <v>7</v>
      </c>
      <c r="C76" s="15">
        <f t="shared" si="6"/>
        <v>11.5</v>
      </c>
      <c r="D76" s="15">
        <f t="shared" si="7"/>
        <v>10.9</v>
      </c>
      <c r="E76" s="15">
        <f t="shared" si="8"/>
        <v>1.07</v>
      </c>
      <c r="F76" s="15">
        <f t="shared" si="9"/>
        <v>2.4</v>
      </c>
      <c r="G76" s="113">
        <v>1.5</v>
      </c>
      <c r="H76" s="15">
        <f>beregningsark!B60</f>
        <v>27.988294187932272</v>
      </c>
      <c r="I76" s="108">
        <f>beregningsark!U60*1000</f>
        <v>860.06126801662583</v>
      </c>
      <c r="J76" s="109">
        <f>beregningsark!T60</f>
        <v>1.7440617962707785</v>
      </c>
      <c r="K76" s="81">
        <f>beregningsark!H60</f>
        <v>1.5287242031868618</v>
      </c>
      <c r="L76" s="115" t="str">
        <f t="shared" si="10"/>
        <v xml:space="preserve"> </v>
      </c>
    </row>
    <row r="77" spans="1:22" x14ac:dyDescent="0.25">
      <c r="A77" s="80">
        <v>50</v>
      </c>
      <c r="B77" s="7"/>
      <c r="C77" s="8">
        <f t="shared" si="6"/>
        <v>11.5</v>
      </c>
      <c r="D77" s="8">
        <f t="shared" si="7"/>
        <v>10.9</v>
      </c>
      <c r="E77" s="8">
        <f t="shared" si="8"/>
        <v>1.07</v>
      </c>
      <c r="F77" s="8">
        <f t="shared" si="9"/>
        <v>2.4</v>
      </c>
      <c r="G77" s="120">
        <f>G76+(G$83-G$76)*0.143</f>
        <v>1.5</v>
      </c>
      <c r="H77" s="8">
        <f>beregningsark!B61</f>
        <v>28.848355455948898</v>
      </c>
      <c r="I77" s="9">
        <f>beregningsark!U61*1000</f>
        <v>854.77846163380218</v>
      </c>
      <c r="J77" s="106">
        <f>beregningsark!T61</f>
        <v>1.7548406602722972</v>
      </c>
      <c r="K77" s="81">
        <f>beregningsark!H61</f>
        <v>1.5704279507157888</v>
      </c>
      <c r="L77" s="115" t="str">
        <f t="shared" si="10"/>
        <v xml:space="preserve"> </v>
      </c>
    </row>
    <row r="78" spans="1:22" x14ac:dyDescent="0.25">
      <c r="A78" s="80">
        <v>51</v>
      </c>
      <c r="B78" s="7"/>
      <c r="C78" s="8">
        <f>IF($A78&lt;$B$15+1,C$15,IF($A78&lt;$B$16+1,C$16,IF($A78&lt;$B$17+1,C$17,IF($A78&lt;$B$18+1,C$18,IF($A78&lt;$B$19+1,C$19,IF($A78&lt;$B$20+1,C$20,IF(A78&lt;$B$21+1,C$21,"?")))))))</f>
        <v>11.5</v>
      </c>
      <c r="D78" s="8">
        <f>IF($A78&lt;$B$15+1,D$15,IF($A78&lt;$B$16+1,D$16,IF($A78&lt;$B$17+1,D$17,IF($A78&lt;$B$18+1,D$18,IF($A78&lt;$B$19+1,D$19,IF($A78&lt;$B$20+1,D$20,IF($A78&lt;$B$21+1,D$21,"?")))))))</f>
        <v>10.9</v>
      </c>
      <c r="E78" s="8">
        <f t="shared" si="8"/>
        <v>1.07</v>
      </c>
      <c r="F78" s="8">
        <f t="shared" si="9"/>
        <v>2.4</v>
      </c>
      <c r="G78" s="120">
        <f t="shared" ref="G78:G82" si="18">G77+(G$83-G$76)*0.143</f>
        <v>1.5</v>
      </c>
      <c r="H78" s="8">
        <f>beregningsark!B62</f>
        <v>29.703133917582701</v>
      </c>
      <c r="I78" s="9">
        <f>beregningsark!U62*1000</f>
        <v>849.57271243694049</v>
      </c>
      <c r="J78" s="106">
        <f>beregningsark!T62</f>
        <v>1.7655934307227852</v>
      </c>
      <c r="K78" s="81">
        <f>beregningsark!H62</f>
        <v>1.6115640252618986</v>
      </c>
      <c r="L78" s="115" t="str">
        <f>IF(G78&gt;J$23,"hvis kolonne G er større end slutfoderstyrke, bruges slutfoderstyrke!"," ")</f>
        <v xml:space="preserve"> </v>
      </c>
    </row>
    <row r="79" spans="1:22" x14ac:dyDescent="0.25">
      <c r="A79" s="80">
        <v>52</v>
      </c>
      <c r="B79" s="7"/>
      <c r="C79" s="8">
        <f t="shared" ref="C79:C83" si="19">IF($A79&lt;$B$15+1,C$15,IF($A79&lt;$B$16+1,C$16,IF($A79&lt;$B$17+1,C$17,IF($A79&lt;$B$18+1,C$18,IF($A79&lt;$B$19+1,C$19,IF($A79&lt;$B$20+1,C$20,IF(A79&lt;$B$21+1,C$21,"?")))))))</f>
        <v>7.7</v>
      </c>
      <c r="D79" s="8">
        <f t="shared" ref="D79:D142" si="20">IF($A79&lt;$B$15+1,D$15,IF($A79&lt;$B$16+1,D$16,IF($A79&lt;$B$17+1,D$17,IF($A79&lt;$B$18+1,D$18,IF($A79&lt;$B$19+1,D$19,IF($A79&lt;$B$20+1,D$20,IF($A79&lt;$B$21+1,D$21,"?")))))))</f>
        <v>7.7</v>
      </c>
      <c r="E79" s="8">
        <f t="shared" si="8"/>
        <v>1.05</v>
      </c>
      <c r="F79" s="8">
        <f t="shared" si="9"/>
        <v>1.9</v>
      </c>
      <c r="G79" s="120">
        <f t="shared" si="18"/>
        <v>1.5</v>
      </c>
      <c r="H79" s="8">
        <f>beregningsark!B63</f>
        <v>30.552706630019642</v>
      </c>
      <c r="I79" s="9">
        <f>beregningsark!U63*1000</f>
        <v>748.10326761113652</v>
      </c>
      <c r="J79" s="106">
        <f>beregningsark!T63</f>
        <v>2.0050707769127118</v>
      </c>
      <c r="K79" s="81">
        <f>beregningsark!H63</f>
        <v>1.6247771829913304</v>
      </c>
      <c r="L79" s="115" t="str">
        <f t="shared" si="10"/>
        <v xml:space="preserve"> </v>
      </c>
    </row>
    <row r="80" spans="1:22" x14ac:dyDescent="0.25">
      <c r="A80" s="80">
        <v>53</v>
      </c>
      <c r="B80" s="7"/>
      <c r="C80" s="8">
        <f t="shared" si="19"/>
        <v>7.7</v>
      </c>
      <c r="D80" s="8">
        <f t="shared" si="20"/>
        <v>7.7</v>
      </c>
      <c r="E80" s="8">
        <f t="shared" si="8"/>
        <v>1.05</v>
      </c>
      <c r="F80" s="8">
        <f t="shared" si="9"/>
        <v>1.9</v>
      </c>
      <c r="G80" s="120">
        <f t="shared" si="18"/>
        <v>1.5</v>
      </c>
      <c r="H80" s="8">
        <f>beregningsark!B64</f>
        <v>31.300809897630778</v>
      </c>
      <c r="I80" s="9">
        <f>beregningsark!U64*1000</f>
        <v>747.82775839869589</v>
      </c>
      <c r="J80" s="106">
        <f>beregningsark!T64</f>
        <v>2.0058094703677636</v>
      </c>
      <c r="K80" s="81">
        <f>beregningsark!H64</f>
        <v>1.6596669352006246</v>
      </c>
      <c r="L80" s="115" t="str">
        <f t="shared" si="10"/>
        <v xml:space="preserve"> </v>
      </c>
    </row>
    <row r="81" spans="1:22" x14ac:dyDescent="0.25">
      <c r="A81" s="80">
        <v>54</v>
      </c>
      <c r="B81" s="7"/>
      <c r="C81" s="8">
        <f t="shared" si="19"/>
        <v>7.7</v>
      </c>
      <c r="D81" s="8">
        <f t="shared" si="20"/>
        <v>7.7</v>
      </c>
      <c r="E81" s="8">
        <f t="shared" si="8"/>
        <v>1.05</v>
      </c>
      <c r="F81" s="8">
        <f t="shared" si="9"/>
        <v>1.9</v>
      </c>
      <c r="G81" s="120">
        <f t="shared" si="18"/>
        <v>1.5</v>
      </c>
      <c r="H81" s="8">
        <f>beregningsark!B65</f>
        <v>32.04863765602947</v>
      </c>
      <c r="I81" s="9">
        <f>beregningsark!U65*1000</f>
        <v>742.09465303743832</v>
      </c>
      <c r="J81" s="106">
        <f>beregningsark!T65</f>
        <v>2.0213054950071521</v>
      </c>
      <c r="K81" s="81">
        <f>beregningsark!H65</f>
        <v>1.6943100302794343</v>
      </c>
      <c r="L81" s="115" t="str">
        <f t="shared" si="10"/>
        <v xml:space="preserve"> </v>
      </c>
    </row>
    <row r="82" spans="1:22" x14ac:dyDescent="0.25">
      <c r="A82" s="80">
        <v>55</v>
      </c>
      <c r="B82" s="7"/>
      <c r="C82" s="8">
        <f t="shared" si="19"/>
        <v>7.7</v>
      </c>
      <c r="D82" s="8">
        <f t="shared" si="20"/>
        <v>7.7</v>
      </c>
      <c r="E82" s="8">
        <f t="shared" si="8"/>
        <v>1.05</v>
      </c>
      <c r="F82" s="8">
        <f t="shared" si="9"/>
        <v>1.9</v>
      </c>
      <c r="G82" s="120">
        <f t="shared" si="18"/>
        <v>1.5</v>
      </c>
      <c r="H82" s="8">
        <f>beregningsark!B66</f>
        <v>32.790732309066911</v>
      </c>
      <c r="I82" s="9">
        <f>beregningsark!U66*1000</f>
        <v>739.38755893057214</v>
      </c>
      <c r="J82" s="106">
        <f>beregningsark!T66</f>
        <v>2.0287060309339728</v>
      </c>
      <c r="K82" s="81">
        <f>beregningsark!H66</f>
        <v>1.7284564557883095</v>
      </c>
      <c r="L82" s="115" t="str">
        <f t="shared" si="10"/>
        <v xml:space="preserve"> </v>
      </c>
    </row>
    <row r="83" spans="1:22" x14ac:dyDescent="0.25">
      <c r="A83" s="80">
        <v>56</v>
      </c>
      <c r="B83" s="82">
        <v>8</v>
      </c>
      <c r="C83" s="15">
        <f t="shared" si="19"/>
        <v>7.7</v>
      </c>
      <c r="D83" s="15">
        <f t="shared" si="20"/>
        <v>7.7</v>
      </c>
      <c r="E83" s="15">
        <f t="shared" si="8"/>
        <v>1.05</v>
      </c>
      <c r="F83" s="15">
        <f t="shared" si="9"/>
        <v>1.9</v>
      </c>
      <c r="G83" s="113">
        <v>1.5</v>
      </c>
      <c r="H83" s="15">
        <f>beregningsark!B67</f>
        <v>33.530119867997485</v>
      </c>
      <c r="I83" s="108">
        <f>beregningsark!U67*1000</f>
        <v>736.69464517472636</v>
      </c>
      <c r="J83" s="109">
        <f>beregningsark!T67</f>
        <v>2.0361217633721713</v>
      </c>
      <c r="K83" s="81">
        <f>beregningsark!H67</f>
        <v>1.7622493818195539</v>
      </c>
      <c r="L83" s="115" t="str">
        <f t="shared" si="10"/>
        <v xml:space="preserve"> </v>
      </c>
    </row>
    <row r="84" spans="1:22" x14ac:dyDescent="0.25">
      <c r="A84" s="80">
        <v>57</v>
      </c>
      <c r="B84" s="7"/>
      <c r="C84" s="8">
        <f t="shared" ref="C84:C147" si="21">IF($A84&lt;$B$15+1,C$15,IF($A84&lt;$B$16+1,C$16,IF($A84&lt;$B$17+1,C$17,IF($A84&lt;$B$18+1,C$18,IF($A84&lt;$B$19+1,C$19,IF($A84&lt;$B$20+1,C$20,IF(A84&lt;$B$21+1,C$21,"?")))))))</f>
        <v>7.7</v>
      </c>
      <c r="D84" s="8">
        <f t="shared" si="20"/>
        <v>7.7</v>
      </c>
      <c r="E84" s="8">
        <f t="shared" si="8"/>
        <v>1.05</v>
      </c>
      <c r="F84" s="8">
        <f t="shared" si="9"/>
        <v>1.9</v>
      </c>
      <c r="G84" s="120">
        <f>G83+(G$90-G$83)*0.143</f>
        <v>1.5286</v>
      </c>
      <c r="H84" s="8">
        <f>beregningsark!B68</f>
        <v>34.266814513172214</v>
      </c>
      <c r="I84" s="9">
        <f>beregningsark!U68*1000</f>
        <v>748.01162065251765</v>
      </c>
      <c r="J84" s="106">
        <f>beregningsark!T68</f>
        <v>2.0435511398426494</v>
      </c>
      <c r="K84" s="81">
        <f>beregningsark!H68</f>
        <v>1.7956919599091519</v>
      </c>
      <c r="L84" s="115" t="str">
        <f t="shared" si="10"/>
        <v xml:space="preserve"> </v>
      </c>
    </row>
    <row r="85" spans="1:22" x14ac:dyDescent="0.25">
      <c r="A85" s="80">
        <v>58</v>
      </c>
      <c r="B85" s="7"/>
      <c r="C85" s="8">
        <f t="shared" si="21"/>
        <v>7.7</v>
      </c>
      <c r="D85" s="8">
        <f t="shared" si="20"/>
        <v>7.7</v>
      </c>
      <c r="E85" s="8">
        <f t="shared" si="8"/>
        <v>1.05</v>
      </c>
      <c r="F85" s="8">
        <f t="shared" si="9"/>
        <v>1.9</v>
      </c>
      <c r="G85" s="120">
        <f t="shared" ref="G85:G89" si="22">G84+(G$90-G$83)*0.143</f>
        <v>1.5571999999999999</v>
      </c>
      <c r="H85" s="8">
        <f>beregningsark!B69</f>
        <v>35.014826133824734</v>
      </c>
      <c r="I85" s="9">
        <f>beregningsark!U69*1000</f>
        <v>759.18533740055182</v>
      </c>
      <c r="J85" s="106">
        <f>beregningsark!T69</f>
        <v>2.0511460420611489</v>
      </c>
      <c r="K85" s="81">
        <f>beregningsark!H69</f>
        <v>1.8294161663822375</v>
      </c>
      <c r="L85" s="115" t="str">
        <f t="shared" si="10"/>
        <v xml:space="preserve"> </v>
      </c>
    </row>
    <row r="86" spans="1:22" x14ac:dyDescent="0.25">
      <c r="A86" s="80">
        <v>59</v>
      </c>
      <c r="B86" s="7"/>
      <c r="C86" s="8">
        <f t="shared" si="21"/>
        <v>7.7</v>
      </c>
      <c r="D86" s="8">
        <f t="shared" si="20"/>
        <v>7.7</v>
      </c>
      <c r="E86" s="8">
        <f t="shared" si="8"/>
        <v>1.05</v>
      </c>
      <c r="F86" s="8">
        <f t="shared" si="9"/>
        <v>1.9</v>
      </c>
      <c r="G86" s="120">
        <f t="shared" si="22"/>
        <v>1.5857999999999999</v>
      </c>
      <c r="H86" s="8">
        <f>beregningsark!B70</f>
        <v>35.774011471225286</v>
      </c>
      <c r="I86" s="9">
        <f>beregningsark!U70*1000</f>
        <v>770.21577662467064</v>
      </c>
      <c r="J86" s="106">
        <f>beregningsark!T70</f>
        <v>2.058903554208507</v>
      </c>
      <c r="K86" s="81">
        <f>beregningsark!H70</f>
        <v>1.8634049948641722</v>
      </c>
      <c r="L86" s="115" t="str">
        <f t="shared" si="10"/>
        <v xml:space="preserve"> </v>
      </c>
    </row>
    <row r="87" spans="1:22" x14ac:dyDescent="0.25">
      <c r="A87" s="80">
        <v>60</v>
      </c>
      <c r="B87" s="7"/>
      <c r="C87" s="8">
        <f t="shared" si="21"/>
        <v>7.7</v>
      </c>
      <c r="D87" s="8">
        <f t="shared" si="20"/>
        <v>7.7</v>
      </c>
      <c r="E87" s="8">
        <f t="shared" si="8"/>
        <v>1.05</v>
      </c>
      <c r="F87" s="8">
        <f t="shared" si="9"/>
        <v>1.9</v>
      </c>
      <c r="G87" s="120">
        <f t="shared" si="22"/>
        <v>1.6143999999999998</v>
      </c>
      <c r="H87" s="8">
        <f>beregningsark!B71</f>
        <v>36.54422724784996</v>
      </c>
      <c r="I87" s="9">
        <f>beregningsark!U71*1000</f>
        <v>781.1030059233816</v>
      </c>
      <c r="J87" s="106">
        <f>beregningsark!T71</f>
        <v>2.0668208773457932</v>
      </c>
      <c r="K87" s="81">
        <f>beregningsark!H71</f>
        <v>1.8976414620834003</v>
      </c>
      <c r="L87" s="115" t="str">
        <f t="shared" si="10"/>
        <v xml:space="preserve"> </v>
      </c>
    </row>
    <row r="88" spans="1:22" x14ac:dyDescent="0.25">
      <c r="A88" s="80">
        <v>61</v>
      </c>
      <c r="B88" s="7"/>
      <c r="C88" s="8">
        <f t="shared" si="21"/>
        <v>7.7</v>
      </c>
      <c r="D88" s="8">
        <f t="shared" si="20"/>
        <v>7.7</v>
      </c>
      <c r="E88" s="8">
        <f t="shared" si="8"/>
        <v>1.05</v>
      </c>
      <c r="F88" s="8">
        <f t="shared" si="9"/>
        <v>1.9</v>
      </c>
      <c r="G88" s="120">
        <f t="shared" si="22"/>
        <v>1.6429999999999998</v>
      </c>
      <c r="H88" s="8">
        <f>beregningsark!B72</f>
        <v>37.325330253773345</v>
      </c>
      <c r="I88" s="9">
        <f>beregningsark!U72*1000</f>
        <v>791.84717561994671</v>
      </c>
      <c r="J88" s="106">
        <f>beregningsark!T72</f>
        <v>2.0748953214535057</v>
      </c>
      <c r="K88" s="81">
        <f>beregningsark!H72</f>
        <v>1.9321086183483809</v>
      </c>
      <c r="L88" s="115" t="str">
        <f t="shared" si="10"/>
        <v xml:space="preserve"> </v>
      </c>
    </row>
    <row r="89" spans="1:22" x14ac:dyDescent="0.25">
      <c r="A89" s="80">
        <v>62</v>
      </c>
      <c r="B89" s="7"/>
      <c r="C89" s="8">
        <f t="shared" si="21"/>
        <v>7.7</v>
      </c>
      <c r="D89" s="8">
        <f t="shared" si="20"/>
        <v>7.7</v>
      </c>
      <c r="E89" s="8">
        <f t="shared" si="8"/>
        <v>1.05</v>
      </c>
      <c r="F89" s="8">
        <f t="shared" si="9"/>
        <v>1.9</v>
      </c>
      <c r="G89" s="120">
        <f t="shared" si="22"/>
        <v>1.6715999999999998</v>
      </c>
      <c r="H89" s="8">
        <f>beregningsark!B73</f>
        <v>38.117177429393294</v>
      </c>
      <c r="I89" s="9">
        <f>beregningsark!U73*1000</f>
        <v>802.44851516004155</v>
      </c>
      <c r="J89" s="106">
        <f>beregningsark!T73</f>
        <v>2.083124298219448</v>
      </c>
      <c r="K89" s="81">
        <f>beregningsark!H73</f>
        <v>1.9667895576083874</v>
      </c>
      <c r="L89" s="115" t="str">
        <f t="shared" si="10"/>
        <v xml:space="preserve"> </v>
      </c>
    </row>
    <row r="90" spans="1:22" x14ac:dyDescent="0.25">
      <c r="A90" s="80">
        <v>63</v>
      </c>
      <c r="B90" s="82">
        <v>9</v>
      </c>
      <c r="C90" s="15">
        <f t="shared" si="21"/>
        <v>7.7</v>
      </c>
      <c r="D90" s="15">
        <f t="shared" si="20"/>
        <v>7.7</v>
      </c>
      <c r="E90" s="15">
        <f t="shared" si="8"/>
        <v>1.05</v>
      </c>
      <c r="F90" s="15">
        <f t="shared" si="9"/>
        <v>1.9</v>
      </c>
      <c r="G90" s="113">
        <v>1.7</v>
      </c>
      <c r="H90" s="15">
        <f>beregningsark!B74</f>
        <v>38.919625944553339</v>
      </c>
      <c r="I90" s="108">
        <f>beregningsark!U74*1000</f>
        <v>812.81170467023026</v>
      </c>
      <c r="J90" s="109">
        <f>beregningsark!T74</f>
        <v>2.0915053144931215</v>
      </c>
      <c r="K90" s="81">
        <f>beregningsark!H74</f>
        <v>2.001667427101554</v>
      </c>
      <c r="L90" s="115" t="str">
        <f t="shared" si="10"/>
        <v xml:space="preserve"> </v>
      </c>
    </row>
    <row r="91" spans="1:22" x14ac:dyDescent="0.25">
      <c r="A91" s="80">
        <v>64</v>
      </c>
      <c r="B91" s="7"/>
      <c r="C91" s="8">
        <f t="shared" si="21"/>
        <v>7.7</v>
      </c>
      <c r="D91" s="8">
        <f t="shared" si="20"/>
        <v>7.7</v>
      </c>
      <c r="E91" s="8">
        <f t="shared" si="8"/>
        <v>1.05</v>
      </c>
      <c r="F91" s="8">
        <f t="shared" ref="F91:F154" si="23">IF($A91&lt;$B$15+1,F$15,IF($A91&lt;$B$16+1,F$16,IF($A91&lt;$B$17+1,F$17,IF($A91&lt;$B$18+1,F$18,IF($A91&lt;$B$19+1,F$19,IF($A91&lt;$B$20+1,F$20,F$21))))))</f>
        <v>1.9</v>
      </c>
      <c r="G91" s="120">
        <f>G90+(G$97-G$90)*0.143</f>
        <v>1.7357499999999999</v>
      </c>
      <c r="H91" s="8">
        <f>beregningsark!B75</f>
        <v>39.73243764922357</v>
      </c>
      <c r="I91" s="9">
        <f>beregningsark!U75*1000</f>
        <v>826.53387290205251</v>
      </c>
      <c r="J91" s="106">
        <f>beregningsark!T75</f>
        <v>2.1000349252542891</v>
      </c>
      <c r="K91" s="81">
        <f>beregningsark!H75</f>
        <v>2.0367213288521695</v>
      </c>
      <c r="L91" s="115" t="str">
        <f t="shared" si="10"/>
        <v xml:space="preserve"> </v>
      </c>
    </row>
    <row r="92" spans="1:22" x14ac:dyDescent="0.25">
      <c r="A92" s="80">
        <v>65</v>
      </c>
      <c r="B92" s="118"/>
      <c r="C92" s="8">
        <f t="shared" si="21"/>
        <v>7.7</v>
      </c>
      <c r="D92" s="8">
        <f t="shared" si="20"/>
        <v>7.7</v>
      </c>
      <c r="E92" s="8">
        <f t="shared" ref="E92:E155" si="24">IF($A92&lt;$B$15+1,E$15,IF($A92&lt;$B$16+1,E$16,IF($A92&lt;$B$17+1,E$17,IF($A92&lt;$B$18+1,E$18,IF($A92&lt;$B$19+1,E$19,IF($A92&lt;$B$20+1,E$20,IF($A92&lt;B$21+1,E$21,"?")))))))</f>
        <v>1.05</v>
      </c>
      <c r="F92" s="8">
        <f t="shared" si="23"/>
        <v>1.9</v>
      </c>
      <c r="G92" s="120">
        <f t="shared" ref="G92:G96" si="25">G91+(G$97-G$90)*0.143</f>
        <v>1.7714999999999999</v>
      </c>
      <c r="H92" s="8">
        <f>beregningsark!B76</f>
        <v>40.558971522125624</v>
      </c>
      <c r="I92" s="9">
        <f>beregningsark!U76*1000</f>
        <v>840.07157336663977</v>
      </c>
      <c r="J92" s="106">
        <f>beregningsark!T76</f>
        <v>2.1087488925504312</v>
      </c>
      <c r="K92" s="81">
        <f>beregningsark!H76</f>
        <v>2.0720838329904998</v>
      </c>
      <c r="L92" s="115" t="str">
        <f t="shared" ref="L92:L155" si="26">IF(G92&gt;J$23,"hvis kolonne G er større end slutfoderstyrke, bruges slutfoderstyrke!"," ")</f>
        <v xml:space="preserve"> </v>
      </c>
      <c r="M92" s="118"/>
      <c r="N92" s="118"/>
      <c r="O92" s="118"/>
      <c r="P92" s="118"/>
      <c r="Q92" s="118"/>
      <c r="R92" s="118"/>
      <c r="S92" s="118"/>
      <c r="T92" s="118"/>
      <c r="U92" s="118"/>
      <c r="V92" s="118"/>
    </row>
    <row r="93" spans="1:22" x14ac:dyDescent="0.25">
      <c r="A93" s="80">
        <v>66</v>
      </c>
      <c r="B93" s="103"/>
      <c r="C93" s="8">
        <f t="shared" si="21"/>
        <v>7.7</v>
      </c>
      <c r="D93" s="8">
        <f t="shared" si="20"/>
        <v>7.7</v>
      </c>
      <c r="E93" s="8">
        <f t="shared" si="24"/>
        <v>1.05</v>
      </c>
      <c r="F93" s="8">
        <f t="shared" si="23"/>
        <v>1.9</v>
      </c>
      <c r="G93" s="120">
        <f t="shared" si="25"/>
        <v>1.8072499999999998</v>
      </c>
      <c r="H93" s="8">
        <f>beregningsark!B77</f>
        <v>41.399043095492267</v>
      </c>
      <c r="I93" s="9">
        <f>beregningsark!U77*1000</f>
        <v>853.42461456759156</v>
      </c>
      <c r="J93" s="106">
        <f>beregningsark!T77</f>
        <v>2.1176445688945673</v>
      </c>
      <c r="K93" s="81">
        <f>beregningsark!H77</f>
        <v>2.10773292121551</v>
      </c>
      <c r="L93" s="115" t="str">
        <f t="shared" si="26"/>
        <v xml:space="preserve"> </v>
      </c>
      <c r="M93" s="103"/>
      <c r="N93" s="103"/>
      <c r="O93" s="121"/>
      <c r="P93" s="103"/>
      <c r="Q93" s="103"/>
      <c r="T93" s="5"/>
    </row>
    <row r="94" spans="1:22" x14ac:dyDescent="0.25">
      <c r="A94" s="80">
        <v>67</v>
      </c>
      <c r="B94" s="119"/>
      <c r="C94" s="8">
        <f t="shared" si="21"/>
        <v>7.7</v>
      </c>
      <c r="D94" s="8">
        <f t="shared" si="20"/>
        <v>7.7</v>
      </c>
      <c r="E94" s="8">
        <f t="shared" si="24"/>
        <v>1.05</v>
      </c>
      <c r="F94" s="8">
        <f t="shared" si="23"/>
        <v>1.9</v>
      </c>
      <c r="G94" s="120">
        <f t="shared" si="25"/>
        <v>1.8429999999999997</v>
      </c>
      <c r="H94" s="8">
        <f>beregningsark!B78</f>
        <v>42.252467710059861</v>
      </c>
      <c r="I94" s="9">
        <f>beregningsark!U78*1000</f>
        <v>866.5929410508403</v>
      </c>
      <c r="J94" s="106">
        <f>beregningsark!T78</f>
        <v>2.1267193773412894</v>
      </c>
      <c r="K94" s="81">
        <f>beregningsark!H78</f>
        <v>2.1436465943834784</v>
      </c>
      <c r="L94" s="115" t="str">
        <f t="shared" si="26"/>
        <v xml:space="preserve"> </v>
      </c>
      <c r="M94" s="119"/>
      <c r="N94" s="119"/>
      <c r="O94" s="122"/>
      <c r="P94" s="103"/>
      <c r="Q94" s="119"/>
      <c r="S94" s="7"/>
      <c r="T94" s="7"/>
      <c r="U94" s="7"/>
    </row>
    <row r="95" spans="1:22" x14ac:dyDescent="0.25">
      <c r="A95" s="80">
        <v>68</v>
      </c>
      <c r="B95" s="119"/>
      <c r="C95" s="8">
        <f t="shared" si="21"/>
        <v>7.7</v>
      </c>
      <c r="D95" s="8">
        <f t="shared" si="20"/>
        <v>7.7</v>
      </c>
      <c r="E95" s="8">
        <f t="shared" si="24"/>
        <v>1.05</v>
      </c>
      <c r="F95" s="8">
        <f t="shared" si="23"/>
        <v>1.9</v>
      </c>
      <c r="G95" s="120">
        <f t="shared" si="25"/>
        <v>1.8787499999999997</v>
      </c>
      <c r="H95" s="8">
        <f>beregningsark!B79</f>
        <v>43.119060651110701</v>
      </c>
      <c r="I95" s="9">
        <f>beregningsark!U79*1000</f>
        <v>879.57662753620082</v>
      </c>
      <c r="J95" s="106">
        <f>beregningsark!T79</f>
        <v>2.1359708082087208</v>
      </c>
      <c r="K95" s="81">
        <f>beregningsark!H79</f>
        <v>2.1798028888736689</v>
      </c>
      <c r="L95" s="115" t="str">
        <f t="shared" si="26"/>
        <v xml:space="preserve"> </v>
      </c>
      <c r="M95" s="119"/>
      <c r="N95" s="119"/>
      <c r="O95" s="103"/>
      <c r="P95" s="103"/>
      <c r="Q95" s="119"/>
      <c r="S95" s="7"/>
      <c r="T95" s="7"/>
      <c r="U95" s="7"/>
    </row>
    <row r="96" spans="1:22" x14ac:dyDescent="0.25">
      <c r="A96" s="80">
        <v>69</v>
      </c>
      <c r="B96" s="119"/>
      <c r="C96" s="8">
        <f t="shared" si="21"/>
        <v>7.7</v>
      </c>
      <c r="D96" s="8">
        <f t="shared" si="20"/>
        <v>7.7</v>
      </c>
      <c r="E96" s="8">
        <f t="shared" si="24"/>
        <v>1.05</v>
      </c>
      <c r="F96" s="8">
        <f t="shared" si="23"/>
        <v>1.9</v>
      </c>
      <c r="G96" s="120">
        <f t="shared" si="25"/>
        <v>1.9144999999999996</v>
      </c>
      <c r="H96" s="8">
        <f>beregningsark!B80</f>
        <v>43.998637278646903</v>
      </c>
      <c r="I96" s="9">
        <f>beregningsark!U80*1000</f>
        <v>892.37587312521771</v>
      </c>
      <c r="J96" s="106">
        <f>beregningsark!T80</f>
        <v>2.1453964160810051</v>
      </c>
      <c r="K96" s="81">
        <f>beregningsark!H80</f>
        <v>2.2161798922856142</v>
      </c>
      <c r="L96" s="115" t="str">
        <f t="shared" si="26"/>
        <v xml:space="preserve"> </v>
      </c>
      <c r="M96" s="123"/>
      <c r="N96" s="119"/>
      <c r="O96" s="124"/>
      <c r="P96" s="119"/>
      <c r="Q96" s="119"/>
      <c r="R96" s="7"/>
      <c r="S96" s="7"/>
      <c r="T96" s="7"/>
      <c r="U96" s="7"/>
    </row>
    <row r="97" spans="1:22" x14ac:dyDescent="0.25">
      <c r="A97" s="80">
        <v>70</v>
      </c>
      <c r="B97" s="104">
        <v>10</v>
      </c>
      <c r="C97" s="15">
        <f t="shared" si="21"/>
        <v>7.7</v>
      </c>
      <c r="D97" s="15">
        <f t="shared" si="20"/>
        <v>7.7</v>
      </c>
      <c r="E97" s="15">
        <f t="shared" si="24"/>
        <v>1.05</v>
      </c>
      <c r="F97" s="15">
        <f t="shared" si="23"/>
        <v>1.9</v>
      </c>
      <c r="G97" s="98">
        <v>1.95</v>
      </c>
      <c r="H97" s="15">
        <f>beregningsark!B81</f>
        <v>44.891013151772121</v>
      </c>
      <c r="I97" s="108">
        <f>beregningsark!U81*1000</f>
        <v>904.87498597979516</v>
      </c>
      <c r="J97" s="109">
        <f>beregningsark!T81</f>
        <v>2.1549938170614227</v>
      </c>
      <c r="K97" s="81">
        <f>beregningsark!H81</f>
        <v>2.2527557584706579</v>
      </c>
      <c r="L97" s="115" t="str">
        <f t="shared" si="26"/>
        <v xml:space="preserve"> </v>
      </c>
      <c r="M97" s="123"/>
      <c r="N97" s="119"/>
      <c r="O97" s="124"/>
      <c r="P97" s="119"/>
      <c r="Q97" s="119"/>
      <c r="R97" s="7"/>
      <c r="S97" s="7"/>
      <c r="T97" s="7"/>
      <c r="U97" s="7"/>
    </row>
    <row r="98" spans="1:22" x14ac:dyDescent="0.25">
      <c r="A98" s="80">
        <v>71</v>
      </c>
      <c r="B98" s="119"/>
      <c r="C98" s="8">
        <f t="shared" si="21"/>
        <v>7.7</v>
      </c>
      <c r="D98" s="8">
        <f t="shared" si="20"/>
        <v>7.7</v>
      </c>
      <c r="E98" s="8">
        <f t="shared" si="24"/>
        <v>1.05</v>
      </c>
      <c r="F98" s="8">
        <f t="shared" si="23"/>
        <v>1.9</v>
      </c>
      <c r="G98" s="120">
        <f>G97+(G$104-G$97)*0.143</f>
        <v>1.9857499999999999</v>
      </c>
      <c r="H98" s="8">
        <f>beregningsark!B82</f>
        <v>45.795888137751916</v>
      </c>
      <c r="I98" s="9">
        <f>beregningsark!U82*1000</f>
        <v>917.30747191153193</v>
      </c>
      <c r="J98" s="106">
        <f>beregningsark!T82</f>
        <v>2.1647594299673512</v>
      </c>
      <c r="K98" s="81">
        <f>beregningsark!H82</f>
        <v>2.2895040325271663</v>
      </c>
      <c r="L98" s="115" t="str">
        <f t="shared" si="26"/>
        <v xml:space="preserve"> </v>
      </c>
      <c r="M98" s="123"/>
      <c r="N98" s="119"/>
      <c r="O98" s="124"/>
      <c r="P98" s="119"/>
      <c r="Q98" s="119"/>
      <c r="R98" s="7"/>
      <c r="S98" s="7"/>
      <c r="T98" s="7"/>
      <c r="U98" s="7"/>
    </row>
    <row r="99" spans="1:22" x14ac:dyDescent="0.25">
      <c r="A99" s="80">
        <v>72</v>
      </c>
      <c r="B99" s="119"/>
      <c r="C99" s="8">
        <f t="shared" si="21"/>
        <v>7.7</v>
      </c>
      <c r="D99" s="8">
        <f t="shared" si="20"/>
        <v>7.7</v>
      </c>
      <c r="E99" s="8">
        <f t="shared" si="24"/>
        <v>1.05</v>
      </c>
      <c r="F99" s="8">
        <f t="shared" si="23"/>
        <v>1.9</v>
      </c>
      <c r="G99" s="120">
        <f t="shared" ref="G99:G103" si="27">G98+(G$104-G$97)*0.143</f>
        <v>2.0215000000000001</v>
      </c>
      <c r="H99" s="8">
        <f>beregningsark!B83</f>
        <v>46.713195609663451</v>
      </c>
      <c r="I99" s="9">
        <f>beregningsark!U83*1000</f>
        <v>929.55681391305905</v>
      </c>
      <c r="J99" s="106">
        <f>beregningsark!T83</f>
        <v>2.174692250912885</v>
      </c>
      <c r="K99" s="81">
        <f>beregningsark!H83</f>
        <v>2.326407863879667</v>
      </c>
      <c r="L99" s="115" t="str">
        <f t="shared" si="26"/>
        <v xml:space="preserve"> </v>
      </c>
      <c r="M99" s="123"/>
      <c r="N99" s="119"/>
      <c r="O99" s="124"/>
      <c r="P99" s="119"/>
      <c r="Q99" s="119"/>
      <c r="R99" s="7"/>
      <c r="S99" s="7"/>
      <c r="T99" s="7"/>
      <c r="U99" s="7"/>
    </row>
    <row r="100" spans="1:22" x14ac:dyDescent="0.25">
      <c r="A100" s="80">
        <v>73</v>
      </c>
      <c r="B100" s="103"/>
      <c r="C100" s="8">
        <f t="shared" si="21"/>
        <v>7.7</v>
      </c>
      <c r="D100" s="8">
        <f t="shared" si="20"/>
        <v>7.7</v>
      </c>
      <c r="E100" s="8">
        <f t="shared" si="24"/>
        <v>1.05</v>
      </c>
      <c r="F100" s="8">
        <f t="shared" si="23"/>
        <v>1.9</v>
      </c>
      <c r="G100" s="120">
        <f t="shared" si="27"/>
        <v>2.0572500000000002</v>
      </c>
      <c r="H100" s="8">
        <f>beregningsark!B84</f>
        <v>47.642752423576511</v>
      </c>
      <c r="I100" s="9">
        <f>beregningsark!U84*1000</f>
        <v>941.62365150926109</v>
      </c>
      <c r="J100" s="106">
        <f>beregningsark!T84</f>
        <v>2.1847900662887785</v>
      </c>
      <c r="K100" s="81">
        <f>beregningsark!H84</f>
        <v>2.363445689685046</v>
      </c>
      <c r="L100" s="115" t="str">
        <f t="shared" si="26"/>
        <v xml:space="preserve"> </v>
      </c>
      <c r="M100" s="103"/>
      <c r="N100" s="103"/>
      <c r="O100" s="103"/>
      <c r="P100" s="103"/>
      <c r="Q100" s="103"/>
      <c r="R100" s="67"/>
      <c r="S100" s="7"/>
      <c r="T100" s="7"/>
      <c r="U100" s="7"/>
    </row>
    <row r="101" spans="1:22" x14ac:dyDescent="0.25">
      <c r="A101" s="80">
        <v>74</v>
      </c>
      <c r="B101" s="118"/>
      <c r="C101" s="8">
        <f t="shared" si="21"/>
        <v>7.7</v>
      </c>
      <c r="D101" s="8">
        <f t="shared" si="20"/>
        <v>7.7</v>
      </c>
      <c r="E101" s="8">
        <f t="shared" si="24"/>
        <v>1.05</v>
      </c>
      <c r="F101" s="8">
        <f t="shared" si="23"/>
        <v>1.9</v>
      </c>
      <c r="G101" s="120">
        <f t="shared" si="27"/>
        <v>2.0930000000000004</v>
      </c>
      <c r="H101" s="8">
        <f>beregningsark!B85</f>
        <v>48.584376075085771</v>
      </c>
      <c r="I101" s="9">
        <f>beregningsark!U85*1000</f>
        <v>953.50872108553165</v>
      </c>
      <c r="J101" s="106">
        <f>beregningsark!T85</f>
        <v>2.1950507150235641</v>
      </c>
      <c r="K101" s="81">
        <f>beregningsark!H85</f>
        <v>2.4005960668039625</v>
      </c>
      <c r="L101" s="115" t="str">
        <f t="shared" si="26"/>
        <v xml:space="preserve"> </v>
      </c>
      <c r="M101" s="125"/>
      <c r="N101" s="118"/>
      <c r="O101" s="118"/>
      <c r="P101" s="118"/>
      <c r="Q101" s="118"/>
      <c r="R101" s="118"/>
      <c r="S101" s="118"/>
      <c r="T101" s="118"/>
      <c r="U101" s="118"/>
      <c r="V101" s="118"/>
    </row>
    <row r="102" spans="1:22" x14ac:dyDescent="0.25">
      <c r="A102" s="80">
        <v>75</v>
      </c>
      <c r="B102" s="118"/>
      <c r="C102" s="8">
        <f t="shared" si="21"/>
        <v>7.7</v>
      </c>
      <c r="D102" s="8">
        <f t="shared" si="20"/>
        <v>7.7</v>
      </c>
      <c r="E102" s="8">
        <f t="shared" si="24"/>
        <v>1.05</v>
      </c>
      <c r="F102" s="8">
        <f t="shared" si="23"/>
        <v>1.9</v>
      </c>
      <c r="G102" s="120">
        <f t="shared" si="27"/>
        <v>2.1287500000000006</v>
      </c>
      <c r="H102" s="8">
        <f>beregningsark!B86</f>
        <v>49.537884796171305</v>
      </c>
      <c r="I102" s="9">
        <f>beregningsark!U86*1000</f>
        <v>965.21285070464057</v>
      </c>
      <c r="J102" s="106">
        <f>beregningsark!T86</f>
        <v>2.2054720867484674</v>
      </c>
      <c r="K102" s="81">
        <f>beregningsark!H86</f>
        <v>2.4378376835974875</v>
      </c>
      <c r="L102" s="115" t="str">
        <f t="shared" si="26"/>
        <v xml:space="preserve"> </v>
      </c>
      <c r="M102" s="125"/>
      <c r="N102" s="118"/>
      <c r="O102" s="118"/>
      <c r="P102" s="118"/>
      <c r="Q102" s="118"/>
      <c r="R102" s="118"/>
      <c r="S102" s="118"/>
      <c r="T102" s="118"/>
      <c r="U102" s="118"/>
      <c r="V102" s="118"/>
    </row>
    <row r="103" spans="1:22" ht="15.75" x14ac:dyDescent="0.25">
      <c r="A103" s="80">
        <v>76</v>
      </c>
      <c r="C103" s="8">
        <f t="shared" si="21"/>
        <v>7.7</v>
      </c>
      <c r="D103" s="8">
        <f t="shared" si="20"/>
        <v>7.7</v>
      </c>
      <c r="E103" s="8">
        <f t="shared" si="24"/>
        <v>1.05</v>
      </c>
      <c r="F103" s="8">
        <f t="shared" si="23"/>
        <v>1.9</v>
      </c>
      <c r="G103" s="120">
        <f t="shared" si="27"/>
        <v>2.1645000000000008</v>
      </c>
      <c r="H103" s="8">
        <f>beregningsark!B87</f>
        <v>50.503097646875943</v>
      </c>
      <c r="I103" s="9">
        <f>beregningsark!U87*1000</f>
        <v>976.7369550449157</v>
      </c>
      <c r="J103" s="106">
        <f>beregningsark!T87</f>
        <v>2.2160521200925229</v>
      </c>
      <c r="K103" s="81">
        <f>beregningsark!H87</f>
        <v>2.4763028582663518</v>
      </c>
      <c r="L103" s="115" t="str">
        <f t="shared" si="26"/>
        <v xml:space="preserve"> </v>
      </c>
      <c r="Q103" s="126"/>
      <c r="R103" s="5"/>
      <c r="S103" s="5"/>
      <c r="T103" s="5"/>
      <c r="U103" s="5"/>
    </row>
    <row r="104" spans="1:22" x14ac:dyDescent="0.25">
      <c r="A104" s="80">
        <v>77</v>
      </c>
      <c r="B104" s="78">
        <v>11</v>
      </c>
      <c r="C104" s="15">
        <f t="shared" si="21"/>
        <v>7.7</v>
      </c>
      <c r="D104" s="15">
        <f t="shared" si="20"/>
        <v>7.7</v>
      </c>
      <c r="E104" s="15">
        <f t="shared" si="24"/>
        <v>1.05</v>
      </c>
      <c r="F104" s="15">
        <f t="shared" si="23"/>
        <v>1.9</v>
      </c>
      <c r="G104" s="204">
        <v>2.2000000000000002</v>
      </c>
      <c r="H104" s="15">
        <f>beregningsark!B88</f>
        <v>51.479834601920857</v>
      </c>
      <c r="I104" s="108">
        <f>beregningsark!U88*1000</f>
        <v>987.96976117283953</v>
      </c>
      <c r="J104" s="109">
        <f>beregningsark!T88</f>
        <v>2.2267888010948171</v>
      </c>
      <c r="K104" s="81">
        <f>beregningsark!H88</f>
        <v>2.5159542477839749</v>
      </c>
      <c r="L104" s="115" t="str">
        <f t="shared" si="26"/>
        <v xml:space="preserve"> </v>
      </c>
      <c r="Q104" s="127"/>
      <c r="R104" s="5"/>
      <c r="S104" s="128"/>
      <c r="T104" s="5"/>
      <c r="U104" s="5"/>
    </row>
    <row r="105" spans="1:22" ht="15.75" x14ac:dyDescent="0.25">
      <c r="A105" s="80">
        <v>78</v>
      </c>
      <c r="C105" s="8">
        <f t="shared" si="21"/>
        <v>7.7</v>
      </c>
      <c r="D105" s="8">
        <f t="shared" si="20"/>
        <v>7.7</v>
      </c>
      <c r="E105" s="8">
        <f t="shared" si="24"/>
        <v>1.05</v>
      </c>
      <c r="F105" s="8">
        <f t="shared" si="23"/>
        <v>1.9</v>
      </c>
      <c r="G105" s="120">
        <f>G104+(G$111-G$104)*0.143</f>
        <v>2.2286000000000001</v>
      </c>
      <c r="H105" s="8">
        <f>beregningsark!B89</f>
        <v>52.467804363093698</v>
      </c>
      <c r="I105" s="9">
        <f>beregningsark!U89*1000</f>
        <v>995.94269308002163</v>
      </c>
      <c r="J105" s="106">
        <f>beregningsark!T89</f>
        <v>2.2376789502897005</v>
      </c>
      <c r="K105" s="81">
        <f>beregningsark!H89</f>
        <v>2.5557238067661925</v>
      </c>
      <c r="L105" s="115" t="str">
        <f t="shared" si="26"/>
        <v xml:space="preserve"> </v>
      </c>
      <c r="Q105" s="129"/>
      <c r="S105" s="126"/>
    </row>
    <row r="106" spans="1:22" x14ac:dyDescent="0.25">
      <c r="A106" s="80">
        <v>79</v>
      </c>
      <c r="C106" s="8">
        <f t="shared" si="21"/>
        <v>7.7</v>
      </c>
      <c r="D106" s="8">
        <f t="shared" si="20"/>
        <v>7.7</v>
      </c>
      <c r="E106" s="8">
        <f t="shared" si="24"/>
        <v>1.05</v>
      </c>
      <c r="F106" s="8">
        <f t="shared" si="23"/>
        <v>1.9</v>
      </c>
      <c r="G106" s="120">
        <f t="shared" ref="G106:G110" si="28">G105+(G$111-G$104)*0.143</f>
        <v>2.2572000000000001</v>
      </c>
      <c r="H106" s="8">
        <f>beregningsark!B90</f>
        <v>53.463747056173723</v>
      </c>
      <c r="I106" s="9">
        <f>beregningsark!U90*1000</f>
        <v>1003.7855869048107</v>
      </c>
      <c r="J106" s="106">
        <f>beregningsark!T90</f>
        <v>2.248687398431485</v>
      </c>
      <c r="K106" s="81">
        <f>beregningsark!H90</f>
        <v>2.5954692837975517</v>
      </c>
      <c r="L106" s="115" t="str">
        <f t="shared" si="26"/>
        <v xml:space="preserve"> </v>
      </c>
    </row>
    <row r="107" spans="1:22" x14ac:dyDescent="0.25">
      <c r="A107" s="80">
        <v>80</v>
      </c>
      <c r="C107" s="8">
        <f t="shared" si="21"/>
        <v>7.7</v>
      </c>
      <c r="D107" s="8">
        <f t="shared" si="20"/>
        <v>7.7</v>
      </c>
      <c r="E107" s="8">
        <f t="shared" si="24"/>
        <v>1.05</v>
      </c>
      <c r="F107" s="8">
        <f t="shared" si="23"/>
        <v>1.9</v>
      </c>
      <c r="G107" s="120">
        <f t="shared" si="28"/>
        <v>2.2858000000000001</v>
      </c>
      <c r="H107" s="8">
        <f>beregningsark!B91</f>
        <v>54.467532643078535</v>
      </c>
      <c r="I107" s="9">
        <f>beregningsark!U91*1000</f>
        <v>1011.4997686548714</v>
      </c>
      <c r="J107" s="106">
        <f>beregningsark!T91</f>
        <v>2.2598126770110274</v>
      </c>
      <c r="K107" s="81">
        <f>beregningsark!H91</f>
        <v>2.6351760770900858</v>
      </c>
      <c r="L107" s="115" t="str">
        <f t="shared" si="26"/>
        <v xml:space="preserve"> </v>
      </c>
    </row>
    <row r="108" spans="1:22" x14ac:dyDescent="0.25">
      <c r="A108" s="80">
        <v>81</v>
      </c>
      <c r="C108" s="8">
        <f t="shared" si="21"/>
        <v>7.7</v>
      </c>
      <c r="D108" s="8">
        <f t="shared" si="20"/>
        <v>7.7</v>
      </c>
      <c r="E108" s="8">
        <f t="shared" si="24"/>
        <v>1.05</v>
      </c>
      <c r="F108" s="8">
        <f t="shared" si="23"/>
        <v>1.9</v>
      </c>
      <c r="G108" s="120">
        <f t="shared" si="28"/>
        <v>2.3144</v>
      </c>
      <c r="H108" s="8">
        <f>beregningsark!B92</f>
        <v>55.479032411733407</v>
      </c>
      <c r="I108" s="9">
        <f>beregningsark!U92*1000</f>
        <v>1019.0865802751055</v>
      </c>
      <c r="J108" s="106">
        <f>beregningsark!T92</f>
        <v>2.2710533577777277</v>
      </c>
      <c r="K108" s="81">
        <f>beregningsark!H92</f>
        <v>2.6748296995313332</v>
      </c>
      <c r="L108" s="115" t="str">
        <f t="shared" si="26"/>
        <v xml:space="preserve"> </v>
      </c>
    </row>
    <row r="109" spans="1:22" x14ac:dyDescent="0.25">
      <c r="A109" s="80">
        <v>82</v>
      </c>
      <c r="C109" s="8">
        <f t="shared" si="21"/>
        <v>7.7</v>
      </c>
      <c r="D109" s="8">
        <f t="shared" si="20"/>
        <v>7.7</v>
      </c>
      <c r="E109" s="8">
        <f t="shared" si="24"/>
        <v>1.05</v>
      </c>
      <c r="F109" s="8">
        <f t="shared" si="23"/>
        <v>1.9</v>
      </c>
      <c r="G109" s="120">
        <f t="shared" si="28"/>
        <v>2.343</v>
      </c>
      <c r="H109" s="8">
        <f>beregningsark!B93</f>
        <v>56.498118992008514</v>
      </c>
      <c r="I109" s="9">
        <f>beregningsark!U93*1000</f>
        <v>1026.5473778012217</v>
      </c>
      <c r="J109" s="106">
        <f>beregningsark!T93</f>
        <v>2.2824080511690648</v>
      </c>
      <c r="K109" s="81">
        <f>beregningsark!H93</f>
        <v>2.7144157809269389</v>
      </c>
      <c r="L109" s="115" t="str">
        <f t="shared" si="26"/>
        <v xml:space="preserve"> </v>
      </c>
    </row>
    <row r="110" spans="1:22" x14ac:dyDescent="0.25">
      <c r="A110" s="80">
        <v>83</v>
      </c>
      <c r="C110" s="8">
        <f t="shared" si="21"/>
        <v>7.7</v>
      </c>
      <c r="D110" s="8">
        <f t="shared" si="20"/>
        <v>7.7</v>
      </c>
      <c r="E110" s="8">
        <f t="shared" si="24"/>
        <v>1.05</v>
      </c>
      <c r="F110" s="8">
        <f t="shared" si="23"/>
        <v>1.9</v>
      </c>
      <c r="G110" s="120">
        <f t="shared" si="28"/>
        <v>2.3715999999999999</v>
      </c>
      <c r="H110" s="8">
        <f>beregningsark!B94</f>
        <v>57.524666369809736</v>
      </c>
      <c r="I110" s="9">
        <f>beregningsark!U94*1000</f>
        <v>1033.8835295931538</v>
      </c>
      <c r="J110" s="106">
        <f>beregningsark!T94</f>
        <v>2.2938754048371917</v>
      </c>
      <c r="K110" s="81">
        <f>beregningsark!H94</f>
        <v>2.753920070064066</v>
      </c>
      <c r="L110" s="115" t="str">
        <f t="shared" si="26"/>
        <v xml:space="preserve"> </v>
      </c>
    </row>
    <row r="111" spans="1:22" x14ac:dyDescent="0.25">
      <c r="A111" s="80">
        <v>84</v>
      </c>
      <c r="B111" s="78">
        <v>12</v>
      </c>
      <c r="C111" s="15">
        <f t="shared" si="21"/>
        <v>6</v>
      </c>
      <c r="D111" s="15">
        <f t="shared" si="20"/>
        <v>6</v>
      </c>
      <c r="E111" s="15">
        <f t="shared" si="24"/>
        <v>1.03</v>
      </c>
      <c r="F111" s="15">
        <f t="shared" si="23"/>
        <v>1.75</v>
      </c>
      <c r="G111" s="98">
        <v>2.4</v>
      </c>
      <c r="H111" s="15">
        <f>beregningsark!B95</f>
        <v>58.558549899402891</v>
      </c>
      <c r="I111" s="108">
        <f>beregningsark!U95*1000</f>
        <v>921.61121635202642</v>
      </c>
      <c r="J111" s="109">
        <f>beregningsark!T95</f>
        <v>2.6041349729876506</v>
      </c>
      <c r="K111" s="81">
        <f>beregningsark!H95</f>
        <v>2.7371391256477664</v>
      </c>
      <c r="L111" s="115" t="str">
        <f t="shared" si="26"/>
        <v xml:space="preserve"> </v>
      </c>
    </row>
    <row r="112" spans="1:22" x14ac:dyDescent="0.25">
      <c r="A112" s="80">
        <v>85</v>
      </c>
      <c r="C112" s="8">
        <f t="shared" si="21"/>
        <v>6</v>
      </c>
      <c r="D112" s="8">
        <f t="shared" si="20"/>
        <v>6</v>
      </c>
      <c r="E112" s="8">
        <f t="shared" si="24"/>
        <v>1.03</v>
      </c>
      <c r="F112" s="8">
        <f t="shared" si="23"/>
        <v>1.75</v>
      </c>
      <c r="G112" s="120">
        <f>G111+(G$118-G$111)*0.143</f>
        <v>2.4285999999999999</v>
      </c>
      <c r="H112" s="8">
        <f>beregningsark!B96</f>
        <v>59.480161115754917</v>
      </c>
      <c r="I112" s="9">
        <f>beregningsark!U96*1000</f>
        <v>932.27089979846698</v>
      </c>
      <c r="J112" s="106">
        <f>beregningsark!T96</f>
        <v>2.6050367983437011</v>
      </c>
      <c r="K112" s="81">
        <f>beregningsark!H96</f>
        <v>2.7721652761466786</v>
      </c>
      <c r="L112" s="115" t="str">
        <f t="shared" si="26"/>
        <v xml:space="preserve"> </v>
      </c>
    </row>
    <row r="113" spans="1:12" x14ac:dyDescent="0.25">
      <c r="A113" s="80">
        <v>86</v>
      </c>
      <c r="C113" s="8">
        <f t="shared" si="21"/>
        <v>6</v>
      </c>
      <c r="D113" s="8">
        <f t="shared" si="20"/>
        <v>6</v>
      </c>
      <c r="E113" s="8">
        <f t="shared" si="24"/>
        <v>1.03</v>
      </c>
      <c r="F113" s="8">
        <f t="shared" si="23"/>
        <v>1.75</v>
      </c>
      <c r="G113" s="120">
        <f t="shared" ref="G113:G117" si="29">G112+(G$118-G$111)*0.143</f>
        <v>2.4571999999999998</v>
      </c>
      <c r="H113" s="8">
        <f>beregningsark!B97</f>
        <v>60.412432015553385</v>
      </c>
      <c r="I113" s="9">
        <f>beregningsark!U97*1000</f>
        <v>942.92148230016699</v>
      </c>
      <c r="J113" s="106">
        <f>beregningsark!T97</f>
        <v>2.6059433856633478</v>
      </c>
      <c r="K113" s="81">
        <f>beregningsark!H97</f>
        <v>2.8073151272659547</v>
      </c>
      <c r="L113" s="115" t="str">
        <f t="shared" si="26"/>
        <v xml:space="preserve"> </v>
      </c>
    </row>
    <row r="114" spans="1:12" x14ac:dyDescent="0.25">
      <c r="A114" s="80">
        <v>87</v>
      </c>
      <c r="C114" s="8">
        <f t="shared" si="21"/>
        <v>6</v>
      </c>
      <c r="D114" s="8">
        <f t="shared" si="20"/>
        <v>6</v>
      </c>
      <c r="E114" s="8">
        <f t="shared" si="24"/>
        <v>1.03</v>
      </c>
      <c r="F114" s="8">
        <f t="shared" si="23"/>
        <v>1.75</v>
      </c>
      <c r="G114" s="120">
        <f t="shared" si="29"/>
        <v>2.4857999999999998</v>
      </c>
      <c r="H114" s="8">
        <f>beregningsark!B98</f>
        <v>61.35535349785355</v>
      </c>
      <c r="I114" s="9">
        <f>beregningsark!U98*1000</f>
        <v>953.56294404264349</v>
      </c>
      <c r="J114" s="106">
        <f>beregningsark!T98</f>
        <v>2.6068546555106429</v>
      </c>
      <c r="K114" s="81">
        <f>beregningsark!H98</f>
        <v>2.8425773255011588</v>
      </c>
      <c r="L114" s="115" t="str">
        <f t="shared" si="26"/>
        <v xml:space="preserve"> </v>
      </c>
    </row>
    <row r="115" spans="1:12" x14ac:dyDescent="0.25">
      <c r="A115" s="80">
        <v>88</v>
      </c>
      <c r="C115" s="8">
        <f t="shared" si="21"/>
        <v>6</v>
      </c>
      <c r="D115" s="8">
        <f t="shared" si="20"/>
        <v>6</v>
      </c>
      <c r="E115" s="8">
        <f t="shared" si="24"/>
        <v>1.03</v>
      </c>
      <c r="F115" s="8">
        <f t="shared" si="23"/>
        <v>1.75</v>
      </c>
      <c r="G115" s="120">
        <f t="shared" si="29"/>
        <v>2.5143999999999997</v>
      </c>
      <c r="H115" s="8">
        <f>beregningsark!B99</f>
        <v>62.308916441896194</v>
      </c>
      <c r="I115" s="9">
        <f>beregningsark!U99*1000</f>
        <v>964.19526596692162</v>
      </c>
      <c r="J115" s="106">
        <f>beregningsark!T99</f>
        <v>2.6077705302550829</v>
      </c>
      <c r="K115" s="81">
        <f>beregningsark!H99</f>
        <v>2.8779403274693074</v>
      </c>
      <c r="L115" s="115" t="str">
        <f t="shared" si="26"/>
        <v xml:space="preserve"> </v>
      </c>
    </row>
    <row r="116" spans="1:12" x14ac:dyDescent="0.25">
      <c r="A116" s="80">
        <v>89</v>
      </c>
      <c r="C116" s="8">
        <f t="shared" si="21"/>
        <v>6</v>
      </c>
      <c r="D116" s="8">
        <f t="shared" si="20"/>
        <v>6</v>
      </c>
      <c r="E116" s="8">
        <f t="shared" si="24"/>
        <v>1.03</v>
      </c>
      <c r="F116" s="8">
        <f t="shared" si="23"/>
        <v>1.75</v>
      </c>
      <c r="G116" s="120">
        <f t="shared" si="29"/>
        <v>2.5429999999999997</v>
      </c>
      <c r="H116" s="8">
        <f>beregningsark!B100</f>
        <v>63.273111707863116</v>
      </c>
      <c r="I116" s="9">
        <f>beregningsark!U100*1000</f>
        <v>974.81842974561039</v>
      </c>
      <c r="J116" s="106">
        <f>beregningsark!T100</f>
        <v>2.6086909340271949</v>
      </c>
      <c r="K116" s="81">
        <f>beregningsark!H100</f>
        <v>2.9133923978748122</v>
      </c>
      <c r="L116" s="115" t="str">
        <f t="shared" si="26"/>
        <v xml:space="preserve"> </v>
      </c>
    </row>
    <row r="117" spans="1:12" x14ac:dyDescent="0.25">
      <c r="A117" s="80">
        <v>90</v>
      </c>
      <c r="C117" s="8">
        <f t="shared" si="21"/>
        <v>6</v>
      </c>
      <c r="D117" s="8">
        <f t="shared" si="20"/>
        <v>6</v>
      </c>
      <c r="E117" s="8">
        <f t="shared" si="24"/>
        <v>1.03</v>
      </c>
      <c r="F117" s="8">
        <f t="shared" si="23"/>
        <v>1.75</v>
      </c>
      <c r="G117" s="120">
        <f t="shared" si="29"/>
        <v>2.5715999999999997</v>
      </c>
      <c r="H117" s="8">
        <f>beregningsark!B101</f>
        <v>64.247930137608719</v>
      </c>
      <c r="I117" s="9">
        <f>beregningsark!U101*1000</f>
        <v>985.43241775987383</v>
      </c>
      <c r="J117" s="106">
        <f>beregningsark!T101</f>
        <v>2.6096157926749237</v>
      </c>
      <c r="K117" s="81">
        <f>beregningsark!H101</f>
        <v>2.948921607454408</v>
      </c>
      <c r="L117" s="115" t="str">
        <f t="shared" si="26"/>
        <v xml:space="preserve"> </v>
      </c>
    </row>
    <row r="118" spans="1:12" x14ac:dyDescent="0.25">
      <c r="A118" s="80">
        <v>91</v>
      </c>
      <c r="B118" s="78">
        <v>13</v>
      </c>
      <c r="C118" s="15">
        <f t="shared" si="21"/>
        <v>6</v>
      </c>
      <c r="D118" s="15">
        <f t="shared" si="20"/>
        <v>6</v>
      </c>
      <c r="E118" s="15">
        <f t="shared" si="24"/>
        <v>1.03</v>
      </c>
      <c r="F118" s="15">
        <f t="shared" si="23"/>
        <v>1.75</v>
      </c>
      <c r="G118" s="98">
        <v>2.6</v>
      </c>
      <c r="H118" s="15">
        <f>beregningsark!B102</f>
        <v>65.233362555368586</v>
      </c>
      <c r="I118" s="108">
        <f>beregningsark!U102*1000</f>
        <v>995.9606007233599</v>
      </c>
      <c r="J118" s="109">
        <f>beregningsark!T102</f>
        <v>2.6105450337208485</v>
      </c>
      <c r="K118" s="81">
        <f>beregningsark!H102</f>
        <v>2.9845158309012509</v>
      </c>
      <c r="L118" s="115" t="str">
        <f t="shared" si="26"/>
        <v xml:space="preserve"> </v>
      </c>
    </row>
    <row r="119" spans="1:12" x14ac:dyDescent="0.25">
      <c r="A119" s="80">
        <v>92</v>
      </c>
      <c r="C119" s="8">
        <f t="shared" si="21"/>
        <v>6</v>
      </c>
      <c r="D119" s="8">
        <f t="shared" si="20"/>
        <v>6</v>
      </c>
      <c r="E119" s="8">
        <f t="shared" si="24"/>
        <v>1.03</v>
      </c>
      <c r="F119" s="8">
        <f t="shared" si="23"/>
        <v>1.75</v>
      </c>
      <c r="G119" s="120">
        <f>G118+(G$125-G$118)*0.143</f>
        <v>2.6214500000000003</v>
      </c>
      <c r="H119" s="8">
        <f>beregningsark!B103</f>
        <v>66.229323156091951</v>
      </c>
      <c r="I119" s="9">
        <f>beregningsark!U103*1000</f>
        <v>1003.8183294302019</v>
      </c>
      <c r="J119" s="106">
        <f>beregningsark!T103</f>
        <v>2.6114785147308637</v>
      </c>
      <c r="K119" s="81">
        <f>beregningsark!H103</f>
        <v>3.0201600157210819</v>
      </c>
      <c r="L119" s="115" t="str">
        <f t="shared" si="26"/>
        <v xml:space="preserve"> </v>
      </c>
    </row>
    <row r="120" spans="1:12" x14ac:dyDescent="0.25">
      <c r="A120" s="80">
        <v>93</v>
      </c>
      <c r="C120" s="8">
        <f t="shared" si="21"/>
        <v>6</v>
      </c>
      <c r="D120" s="8">
        <f t="shared" si="20"/>
        <v>6</v>
      </c>
      <c r="E120" s="8">
        <f t="shared" si="24"/>
        <v>1.03</v>
      </c>
      <c r="F120" s="8">
        <f t="shared" si="23"/>
        <v>1.75</v>
      </c>
      <c r="G120" s="120">
        <f t="shared" ref="G120:G124" si="30">G119+(G$125-G$118)*0.143</f>
        <v>2.6429000000000005</v>
      </c>
      <c r="H120" s="8">
        <f>beregningsark!B104</f>
        <v>67.233141485522154</v>
      </c>
      <c r="I120" s="9">
        <f>beregningsark!U104*1000</f>
        <v>1011.6697842042133</v>
      </c>
      <c r="J120" s="106">
        <f>beregningsark!T104</f>
        <v>2.6124136959165232</v>
      </c>
      <c r="K120" s="81">
        <f>beregningsark!H104</f>
        <v>3.0557478204514892</v>
      </c>
      <c r="L120" s="115" t="str">
        <f t="shared" si="26"/>
        <v xml:space="preserve"> </v>
      </c>
    </row>
    <row r="121" spans="1:12" x14ac:dyDescent="0.25">
      <c r="A121" s="80">
        <v>94</v>
      </c>
      <c r="C121" s="8">
        <f t="shared" si="21"/>
        <v>6</v>
      </c>
      <c r="D121" s="8">
        <f t="shared" si="20"/>
        <v>6</v>
      </c>
      <c r="E121" s="8">
        <f t="shared" si="24"/>
        <v>1.03</v>
      </c>
      <c r="F121" s="8">
        <f t="shared" si="23"/>
        <v>1.75</v>
      </c>
      <c r="G121" s="120">
        <f t="shared" si="30"/>
        <v>2.6643500000000007</v>
      </c>
      <c r="H121" s="8">
        <f>beregningsark!B105</f>
        <v>68.24481126972637</v>
      </c>
      <c r="I121" s="9">
        <f>beregningsark!U105*1000</f>
        <v>1013.0012373385599</v>
      </c>
      <c r="J121" s="106">
        <f>beregningsark!T105</f>
        <v>2.6301547340652811</v>
      </c>
      <c r="K121" s="81">
        <f>beregningsark!H105</f>
        <v>3.0912694456536753</v>
      </c>
      <c r="L121" s="115" t="str">
        <f t="shared" si="26"/>
        <v xml:space="preserve"> </v>
      </c>
    </row>
    <row r="122" spans="1:12" x14ac:dyDescent="0.25">
      <c r="A122" s="80">
        <v>95</v>
      </c>
      <c r="C122" s="8">
        <f t="shared" si="21"/>
        <v>6</v>
      </c>
      <c r="D122" s="8">
        <f t="shared" si="20"/>
        <v>6</v>
      </c>
      <c r="E122" s="8">
        <f t="shared" si="24"/>
        <v>1.03</v>
      </c>
      <c r="F122" s="8">
        <f t="shared" si="23"/>
        <v>1.75</v>
      </c>
      <c r="G122" s="120">
        <f t="shared" si="30"/>
        <v>2.6858000000000009</v>
      </c>
      <c r="H122" s="8">
        <f>beregningsark!B106</f>
        <v>69.257812507064926</v>
      </c>
      <c r="I122" s="9">
        <f>beregningsark!U106*1000</f>
        <v>1017.0934440699908</v>
      </c>
      <c r="J122" s="106">
        <f>beregningsark!T106</f>
        <v>2.6406619919331411</v>
      </c>
      <c r="K122" s="81">
        <f>beregningsark!H106</f>
        <v>3.1264896228845487</v>
      </c>
      <c r="L122" s="115" t="str">
        <f t="shared" si="26"/>
        <v xml:space="preserve"> </v>
      </c>
    </row>
    <row r="123" spans="1:12" x14ac:dyDescent="0.25">
      <c r="A123" s="80">
        <v>96</v>
      </c>
      <c r="C123" s="8">
        <f t="shared" si="21"/>
        <v>6</v>
      </c>
      <c r="D123" s="8">
        <f t="shared" si="20"/>
        <v>6</v>
      </c>
      <c r="E123" s="8">
        <f t="shared" si="24"/>
        <v>1.03</v>
      </c>
      <c r="F123" s="8">
        <f t="shared" si="23"/>
        <v>1.75</v>
      </c>
      <c r="G123" s="120">
        <f t="shared" si="30"/>
        <v>2.707250000000001</v>
      </c>
      <c r="H123" s="8">
        <f>beregningsark!B107</f>
        <v>70.274905951134912</v>
      </c>
      <c r="I123" s="9">
        <f>beregningsark!U107*1000</f>
        <v>1021.1263429355395</v>
      </c>
      <c r="J123" s="106">
        <f>beregningsark!T107</f>
        <v>2.651239015357477</v>
      </c>
      <c r="K123" s="81">
        <f>beregningsark!H107</f>
        <v>3.1614998795661902</v>
      </c>
      <c r="L123" s="115" t="str">
        <f t="shared" si="26"/>
        <v xml:space="preserve"> </v>
      </c>
    </row>
    <row r="124" spans="1:12" x14ac:dyDescent="0.25">
      <c r="A124" s="80">
        <v>97</v>
      </c>
      <c r="C124" s="8">
        <f t="shared" si="21"/>
        <v>6</v>
      </c>
      <c r="D124" s="8">
        <f t="shared" si="20"/>
        <v>6</v>
      </c>
      <c r="E124" s="8">
        <f t="shared" si="24"/>
        <v>1.03</v>
      </c>
      <c r="F124" s="8">
        <f t="shared" si="23"/>
        <v>1.75</v>
      </c>
      <c r="G124" s="120">
        <f t="shared" si="30"/>
        <v>2.7287000000000012</v>
      </c>
      <c r="H124" s="8">
        <f>beregningsark!B108</f>
        <v>71.296032294070457</v>
      </c>
      <c r="I124" s="9">
        <f>beregningsark!U108*1000</f>
        <v>1025.1006502753239</v>
      </c>
      <c r="J124" s="106">
        <f>beregningsark!T108</f>
        <v>2.6618849566304736</v>
      </c>
      <c r="K124" s="81">
        <f>beregningsark!H108</f>
        <v>3.1962922689275737</v>
      </c>
      <c r="L124" s="115" t="str">
        <f t="shared" si="26"/>
        <v xml:space="preserve"> </v>
      </c>
    </row>
    <row r="125" spans="1:12" x14ac:dyDescent="0.25">
      <c r="A125" s="80">
        <v>98</v>
      </c>
      <c r="B125" s="78">
        <v>14</v>
      </c>
      <c r="C125" s="15">
        <f t="shared" si="21"/>
        <v>6</v>
      </c>
      <c r="D125" s="15">
        <f t="shared" si="20"/>
        <v>6</v>
      </c>
      <c r="E125" s="15">
        <f t="shared" si="24"/>
        <v>1.03</v>
      </c>
      <c r="F125" s="15">
        <f t="shared" si="23"/>
        <v>1.75</v>
      </c>
      <c r="G125" s="98">
        <v>2.75</v>
      </c>
      <c r="H125" s="15">
        <f>beregningsark!B109</f>
        <v>72.321132944345777</v>
      </c>
      <c r="I125" s="108">
        <f>beregningsark!U109*1000</f>
        <v>1028.9609502954295</v>
      </c>
      <c r="J125" s="109">
        <f>beregningsark!T109</f>
        <v>2.6725989933927381</v>
      </c>
      <c r="K125" s="81">
        <f>beregningsark!H109</f>
        <v>3.230858894562274</v>
      </c>
      <c r="L125" s="115" t="str">
        <f t="shared" si="26"/>
        <v xml:space="preserve"> </v>
      </c>
    </row>
    <row r="126" spans="1:12" x14ac:dyDescent="0.25">
      <c r="A126" s="80">
        <v>99</v>
      </c>
      <c r="C126" s="8">
        <f t="shared" si="21"/>
        <v>6</v>
      </c>
      <c r="D126" s="8">
        <f t="shared" si="20"/>
        <v>6</v>
      </c>
      <c r="E126" s="8">
        <f t="shared" si="24"/>
        <v>1.03</v>
      </c>
      <c r="F126" s="8">
        <f t="shared" si="23"/>
        <v>1.75</v>
      </c>
      <c r="G126" s="120">
        <f>G125+(G$132-G$125)*0.143</f>
        <v>2.7714500000000002</v>
      </c>
      <c r="H126" s="8">
        <f>beregningsark!B110</f>
        <v>73.350093894641205</v>
      </c>
      <c r="I126" s="9">
        <f>beregningsark!U110*1000</f>
        <v>1032.8206525811202</v>
      </c>
      <c r="J126" s="106">
        <f>beregningsark!T110</f>
        <v>2.6833797262611614</v>
      </c>
      <c r="K126" s="81">
        <f>beregningsark!H110</f>
        <v>3.2651900477389342</v>
      </c>
      <c r="L126" s="115" t="str">
        <f t="shared" si="26"/>
        <v xml:space="preserve"> </v>
      </c>
    </row>
    <row r="127" spans="1:12" x14ac:dyDescent="0.25">
      <c r="A127" s="80">
        <v>100</v>
      </c>
      <c r="C127" s="8">
        <f t="shared" si="21"/>
        <v>6</v>
      </c>
      <c r="D127" s="8">
        <f t="shared" si="20"/>
        <v>6</v>
      </c>
      <c r="E127" s="8">
        <f t="shared" si="24"/>
        <v>1.03</v>
      </c>
      <c r="F127" s="8">
        <f t="shared" si="23"/>
        <v>1.75</v>
      </c>
      <c r="G127" s="120">
        <f t="shared" ref="G127:G131" si="31">G126+(G$132-G$125)*0.143</f>
        <v>2.7929000000000004</v>
      </c>
      <c r="H127" s="8">
        <f>beregningsark!B111</f>
        <v>74.382914547222327</v>
      </c>
      <c r="I127" s="9">
        <f>beregningsark!U111*1000</f>
        <v>1036.6238682660348</v>
      </c>
      <c r="J127" s="106">
        <f>beregningsark!T111</f>
        <v>2.6942269857935028</v>
      </c>
      <c r="K127" s="81">
        <f>beregningsark!H111</f>
        <v>3.2992798504439471</v>
      </c>
      <c r="L127" s="115" t="str">
        <f t="shared" si="26"/>
        <v xml:space="preserve"> </v>
      </c>
    </row>
    <row r="128" spans="1:12" x14ac:dyDescent="0.25">
      <c r="A128" s="80">
        <v>101</v>
      </c>
      <c r="C128" s="8">
        <f t="shared" si="21"/>
        <v>6</v>
      </c>
      <c r="D128" s="8">
        <f t="shared" si="20"/>
        <v>6</v>
      </c>
      <c r="E128" s="8">
        <f t="shared" si="24"/>
        <v>1.03</v>
      </c>
      <c r="F128" s="8">
        <f t="shared" si="23"/>
        <v>1.75</v>
      </c>
      <c r="G128" s="120">
        <f t="shared" si="31"/>
        <v>2.8143500000000006</v>
      </c>
      <c r="H128" s="8">
        <f>beregningsark!B112</f>
        <v>75.419538415488361</v>
      </c>
      <c r="I128" s="9">
        <f>beregningsark!U112*1000</f>
        <v>1040.3712856595926</v>
      </c>
      <c r="J128" s="106">
        <f>beregningsark!T112</f>
        <v>2.7051400195226556</v>
      </c>
      <c r="K128" s="81">
        <f>beregningsark!H112</f>
        <v>3.3331205566514495</v>
      </c>
      <c r="L128" s="115" t="str">
        <f t="shared" si="26"/>
        <v xml:space="preserve"> </v>
      </c>
    </row>
    <row r="129" spans="1:12" x14ac:dyDescent="0.25">
      <c r="A129" s="80">
        <v>102</v>
      </c>
      <c r="C129" s="8">
        <f t="shared" si="21"/>
        <v>6</v>
      </c>
      <c r="D129" s="8">
        <f t="shared" si="20"/>
        <v>6</v>
      </c>
      <c r="E129" s="8">
        <f t="shared" si="24"/>
        <v>1.03</v>
      </c>
      <c r="F129" s="8">
        <f t="shared" si="23"/>
        <v>1.75</v>
      </c>
      <c r="G129" s="120">
        <f t="shared" si="31"/>
        <v>2.8358000000000008</v>
      </c>
      <c r="H129" s="8">
        <f>beregningsark!B113</f>
        <v>76.45990970114795</v>
      </c>
      <c r="I129" s="9">
        <f>beregningsark!U113*1000</f>
        <v>1044.063586083266</v>
      </c>
      <c r="J129" s="106">
        <f>beregningsark!T113</f>
        <v>2.7161180964449803</v>
      </c>
      <c r="K129" s="81">
        <f>beregningsark!H113</f>
        <v>3.3667044702297133</v>
      </c>
      <c r="L129" s="115" t="str">
        <f t="shared" si="26"/>
        <v xml:space="preserve"> </v>
      </c>
    </row>
    <row r="130" spans="1:12" x14ac:dyDescent="0.25">
      <c r="A130" s="80">
        <v>103</v>
      </c>
      <c r="C130" s="8">
        <f t="shared" si="21"/>
        <v>6</v>
      </c>
      <c r="D130" s="8">
        <f t="shared" si="20"/>
        <v>6</v>
      </c>
      <c r="E130" s="8">
        <f t="shared" si="24"/>
        <v>1.03</v>
      </c>
      <c r="F130" s="8">
        <f t="shared" si="23"/>
        <v>1.75</v>
      </c>
      <c r="G130" s="120">
        <f t="shared" si="31"/>
        <v>2.857250000000001</v>
      </c>
      <c r="H130" s="8">
        <f>beregningsark!B114</f>
        <v>77.503973287231219</v>
      </c>
      <c r="I130" s="9">
        <f>beregningsark!U114*1000</f>
        <v>1047.7014438750412</v>
      </c>
      <c r="J130" s="106">
        <f>beregningsark!T114</f>
        <v>2.7271605061763986</v>
      </c>
      <c r="K130" s="81">
        <f>beregningsark!H114</f>
        <v>3.4000239448066147</v>
      </c>
      <c r="L130" s="115" t="str">
        <f t="shared" si="26"/>
        <v xml:space="preserve"> </v>
      </c>
    </row>
    <row r="131" spans="1:12" x14ac:dyDescent="0.25">
      <c r="A131" s="80">
        <v>104</v>
      </c>
      <c r="C131" s="8">
        <f t="shared" si="21"/>
        <v>6</v>
      </c>
      <c r="D131" s="8">
        <f t="shared" si="20"/>
        <v>6</v>
      </c>
      <c r="E131" s="8">
        <f t="shared" si="24"/>
        <v>1.03</v>
      </c>
      <c r="F131" s="8">
        <f t="shared" si="23"/>
        <v>1.75</v>
      </c>
      <c r="G131" s="120">
        <f t="shared" si="31"/>
        <v>2.8787000000000011</v>
      </c>
      <c r="H131" s="8">
        <f>beregningsark!B115</f>
        <v>78.55167473110626</v>
      </c>
      <c r="I131" s="9">
        <f>beregningsark!U115*1000</f>
        <v>1051.2855263958854</v>
      </c>
      <c r="J131" s="106">
        <f>beregningsark!T115</f>
        <v>2.7382665581528816</v>
      </c>
      <c r="K131" s="81">
        <f>beregningsark!H115</f>
        <v>3.4330713836280999</v>
      </c>
      <c r="L131" s="115" t="str">
        <f t="shared" si="26"/>
        <v xml:space="preserve"> </v>
      </c>
    </row>
    <row r="132" spans="1:12" x14ac:dyDescent="0.25">
      <c r="A132" s="80">
        <v>105</v>
      </c>
      <c r="B132" s="78">
        <v>15</v>
      </c>
      <c r="C132" s="15">
        <f t="shared" si="21"/>
        <v>6</v>
      </c>
      <c r="D132" s="15">
        <f t="shared" si="20"/>
        <v>6</v>
      </c>
      <c r="E132" s="15">
        <f t="shared" si="24"/>
        <v>1.03</v>
      </c>
      <c r="F132" s="15">
        <f t="shared" si="23"/>
        <v>1.75</v>
      </c>
      <c r="G132" s="98">
        <v>2.9</v>
      </c>
      <c r="H132" s="15">
        <f>beregningsark!B116</f>
        <v>79.602960257502147</v>
      </c>
      <c r="I132" s="108">
        <f>beregningsark!U116*1000</f>
        <v>1054.7619373863402</v>
      </c>
      <c r="J132" s="109">
        <f>beregningsark!T116</f>
        <v>2.7494355808724849</v>
      </c>
      <c r="K132" s="81">
        <f>beregningsark!H116</f>
        <v>3.4658392394099393</v>
      </c>
      <c r="L132" s="115" t="str">
        <f t="shared" si="26"/>
        <v xml:space="preserve"> </v>
      </c>
    </row>
    <row r="133" spans="1:12" x14ac:dyDescent="0.25">
      <c r="A133" s="80">
        <v>106</v>
      </c>
      <c r="C133" s="8">
        <f t="shared" si="21"/>
        <v>6</v>
      </c>
      <c r="D133" s="8">
        <f t="shared" si="20"/>
        <v>6</v>
      </c>
      <c r="E133" s="8">
        <f t="shared" si="24"/>
        <v>1.03</v>
      </c>
      <c r="F133" s="8">
        <f t="shared" si="23"/>
        <v>1.75</v>
      </c>
      <c r="G133" s="120">
        <f>G132+(G$139-G$132)*0.143</f>
        <v>2.9142999999999999</v>
      </c>
      <c r="H133" s="8">
        <f>beregningsark!B117</f>
        <v>80.657722194888493</v>
      </c>
      <c r="I133" s="9">
        <f>beregningsark!U117*1000</f>
        <v>1055.6509343645212</v>
      </c>
      <c r="J133" s="106">
        <f>beregningsark!T117</f>
        <v>2.7606663387783055</v>
      </c>
      <c r="K133" s="81">
        <f>beregningsark!H117</f>
        <v>3.4983183445488528</v>
      </c>
      <c r="L133" s="115" t="str">
        <f t="shared" si="26"/>
        <v xml:space="preserve"> </v>
      </c>
    </row>
    <row r="134" spans="1:12" x14ac:dyDescent="0.25">
      <c r="A134" s="80">
        <v>107</v>
      </c>
      <c r="C134" s="8">
        <f t="shared" si="21"/>
        <v>6</v>
      </c>
      <c r="D134" s="8">
        <f t="shared" si="20"/>
        <v>6</v>
      </c>
      <c r="E134" s="8">
        <f t="shared" si="24"/>
        <v>1.03</v>
      </c>
      <c r="F134" s="8">
        <f t="shared" si="23"/>
        <v>1.75</v>
      </c>
      <c r="G134" s="120">
        <f t="shared" ref="G134:G138" si="32">G133+(G$139-G$132)*0.143</f>
        <v>2.9285999999999999</v>
      </c>
      <c r="H134" s="8">
        <f>beregningsark!B118</f>
        <v>81.713373129253014</v>
      </c>
      <c r="I134" s="9">
        <f>beregningsark!U118*1000</f>
        <v>1056.5197494552444</v>
      </c>
      <c r="J134" s="106">
        <f>beregningsark!T118</f>
        <v>2.7719311461144236</v>
      </c>
      <c r="K134" s="81">
        <f>beregningsark!H118</f>
        <v>3.5304246983232743</v>
      </c>
      <c r="L134" s="115" t="str">
        <f t="shared" si="26"/>
        <v xml:space="preserve"> </v>
      </c>
    </row>
    <row r="135" spans="1:12" x14ac:dyDescent="0.25">
      <c r="A135" s="80">
        <v>108</v>
      </c>
      <c r="C135" s="8">
        <f t="shared" si="21"/>
        <v>6</v>
      </c>
      <c r="D135" s="8">
        <f t="shared" si="20"/>
        <v>6</v>
      </c>
      <c r="E135" s="8">
        <f t="shared" si="24"/>
        <v>1.03</v>
      </c>
      <c r="F135" s="8">
        <f t="shared" si="23"/>
        <v>1.75</v>
      </c>
      <c r="G135" s="120">
        <f t="shared" si="32"/>
        <v>2.9428999999999998</v>
      </c>
      <c r="H135" s="8">
        <f>beregningsark!B119</f>
        <v>82.769892878708262</v>
      </c>
      <c r="I135" s="9">
        <f>beregningsark!U119*1000</f>
        <v>1057.3687172224184</v>
      </c>
      <c r="J135" s="106">
        <f>beregningsark!T119</f>
        <v>2.7832296833318915</v>
      </c>
      <c r="K135" s="81">
        <f>beregningsark!H119</f>
        <v>3.5621548213761658</v>
      </c>
      <c r="L135" s="115" t="str">
        <f t="shared" si="26"/>
        <v xml:space="preserve"> </v>
      </c>
    </row>
    <row r="136" spans="1:12" x14ac:dyDescent="0.25">
      <c r="A136" s="80">
        <v>109</v>
      </c>
      <c r="C136" s="8">
        <f t="shared" si="21"/>
        <v>6</v>
      </c>
      <c r="D136" s="8">
        <f t="shared" si="20"/>
        <v>6</v>
      </c>
      <c r="E136" s="8">
        <f t="shared" si="24"/>
        <v>1.03</v>
      </c>
      <c r="F136" s="8">
        <f t="shared" si="23"/>
        <v>1.75</v>
      </c>
      <c r="G136" s="120">
        <f t="shared" si="32"/>
        <v>2.9571999999999998</v>
      </c>
      <c r="H136" s="8">
        <f>beregningsark!B120</f>
        <v>83.827261595930679</v>
      </c>
      <c r="I136" s="9">
        <f>beregningsark!U120*1000</f>
        <v>1058.1981646765739</v>
      </c>
      <c r="J136" s="106">
        <f>beregningsark!T120</f>
        <v>2.7945616413952425</v>
      </c>
      <c r="K136" s="81">
        <f>beregningsark!H120</f>
        <v>3.5935052649456547</v>
      </c>
      <c r="L136" s="115" t="str">
        <f t="shared" si="26"/>
        <v xml:space="preserve"> </v>
      </c>
    </row>
    <row r="137" spans="1:12" x14ac:dyDescent="0.25">
      <c r="A137" s="80">
        <v>110</v>
      </c>
      <c r="C137" s="8">
        <f t="shared" si="21"/>
        <v>6</v>
      </c>
      <c r="D137" s="8">
        <f t="shared" si="20"/>
        <v>6</v>
      </c>
      <c r="E137" s="8">
        <f t="shared" si="24"/>
        <v>1.03</v>
      </c>
      <c r="F137" s="8">
        <f t="shared" si="23"/>
        <v>1.75</v>
      </c>
      <c r="G137" s="120">
        <f t="shared" si="32"/>
        <v>2.9714999999999998</v>
      </c>
      <c r="H137" s="8">
        <f>beregningsark!B121</f>
        <v>84.885459760607247</v>
      </c>
      <c r="I137" s="9">
        <f>beregningsark!U121*1000</f>
        <v>1059.0084115157401</v>
      </c>
      <c r="J137" s="106">
        <f>beregningsark!T121</f>
        <v>2.8059267213439263</v>
      </c>
      <c r="K137" s="81">
        <f>beregningsark!H121</f>
        <v>3.6244726104002458</v>
      </c>
      <c r="L137" s="115" t="str">
        <f t="shared" si="26"/>
        <v xml:space="preserve"> </v>
      </c>
    </row>
    <row r="138" spans="1:12" x14ac:dyDescent="0.25">
      <c r="A138" s="80">
        <v>111</v>
      </c>
      <c r="C138" s="8">
        <f t="shared" si="21"/>
        <v>6</v>
      </c>
      <c r="D138" s="8">
        <f t="shared" si="20"/>
        <v>6</v>
      </c>
      <c r="E138" s="8">
        <f t="shared" si="24"/>
        <v>1.03</v>
      </c>
      <c r="F138" s="8">
        <f t="shared" si="23"/>
        <v>1.75</v>
      </c>
      <c r="G138" s="120">
        <f t="shared" si="32"/>
        <v>2.9857999999999998</v>
      </c>
      <c r="H138" s="8">
        <f>beregningsark!B122</f>
        <v>85.944468172122981</v>
      </c>
      <c r="I138" s="9">
        <f>beregningsark!U122*1000</f>
        <v>1059.7997703558215</v>
      </c>
      <c r="J138" s="106">
        <f>beregningsark!T122</f>
        <v>2.8173246338763924</v>
      </c>
      <c r="K138" s="81">
        <f>beregningsark!H122</f>
        <v>3.6550534687883616</v>
      </c>
      <c r="L138" s="115" t="str">
        <f t="shared" si="26"/>
        <v xml:space="preserve"> </v>
      </c>
    </row>
    <row r="139" spans="1:12" x14ac:dyDescent="0.25">
      <c r="A139" s="80">
        <v>112</v>
      </c>
      <c r="B139" s="78">
        <v>16</v>
      </c>
      <c r="C139" s="15">
        <f t="shared" si="21"/>
        <v>6</v>
      </c>
      <c r="D139" s="15">
        <f t="shared" si="20"/>
        <v>6</v>
      </c>
      <c r="E139" s="15">
        <f t="shared" si="24"/>
        <v>1.03</v>
      </c>
      <c r="F139" s="15">
        <f t="shared" si="23"/>
        <v>1.75</v>
      </c>
      <c r="G139" s="98">
        <v>3</v>
      </c>
      <c r="H139" s="15">
        <f>beregningsark!B123</f>
        <v>87.004267942478805</v>
      </c>
      <c r="I139" s="108">
        <f>beregningsark!U123*1000</f>
        <v>1060.5371957112138</v>
      </c>
      <c r="J139" s="109">
        <f>beregningsark!T123</f>
        <v>2.8287550989554404</v>
      </c>
      <c r="K139" s="81">
        <f>beregningsark!H123</f>
        <v>3.6852444804016025</v>
      </c>
      <c r="L139" s="115" t="str">
        <f t="shared" si="26"/>
        <v xml:space="preserve"> </v>
      </c>
    </row>
    <row r="140" spans="1:12" x14ac:dyDescent="0.25">
      <c r="A140" s="80">
        <v>113</v>
      </c>
      <c r="C140" s="8">
        <f t="shared" si="21"/>
        <v>6</v>
      </c>
      <c r="D140" s="8">
        <f t="shared" si="20"/>
        <v>6</v>
      </c>
      <c r="E140" s="8">
        <f t="shared" si="24"/>
        <v>1.03</v>
      </c>
      <c r="F140" s="8">
        <f t="shared" si="23"/>
        <v>1.75</v>
      </c>
      <c r="G140" s="120">
        <f>G139+(G$146-G$139)*0.143</f>
        <v>3.0143</v>
      </c>
      <c r="H140" s="8">
        <f>beregningsark!B124</f>
        <v>88.064805138190025</v>
      </c>
      <c r="I140" s="9">
        <f>beregningsark!U124*1000</f>
        <v>1061.2919725028364</v>
      </c>
      <c r="J140" s="106">
        <f>beregningsark!T124</f>
        <v>2.8402174689886706</v>
      </c>
      <c r="K140" s="81">
        <f>beregningsark!H124</f>
        <v>3.7150413280660013</v>
      </c>
      <c r="L140" s="115" t="str">
        <f t="shared" si="26"/>
        <v xml:space="preserve"> </v>
      </c>
    </row>
    <row r="141" spans="1:12" x14ac:dyDescent="0.25">
      <c r="A141" s="80">
        <v>114</v>
      </c>
      <c r="C141" s="8">
        <f t="shared" si="21"/>
        <v>6</v>
      </c>
      <c r="D141" s="8">
        <f t="shared" si="20"/>
        <v>6</v>
      </c>
      <c r="E141" s="8">
        <f t="shared" si="24"/>
        <v>1.03</v>
      </c>
      <c r="F141" s="8">
        <f t="shared" si="23"/>
        <v>1.75</v>
      </c>
      <c r="G141" s="120">
        <f t="shared" ref="G141:G145" si="33">G140+(G$146-G$139)*0.143</f>
        <v>3.0286</v>
      </c>
      <c r="H141" s="8">
        <f>beregningsark!B125</f>
        <v>89.126097110692868</v>
      </c>
      <c r="I141" s="9">
        <f>beregningsark!U125*1000</f>
        <v>1062.028756273729</v>
      </c>
      <c r="J141" s="106">
        <f>beregningsark!T125</f>
        <v>2.8517118600688849</v>
      </c>
      <c r="K141" s="81">
        <f>beregningsark!H125</f>
        <v>3.7444417312764391</v>
      </c>
      <c r="L141" s="115" t="str">
        <f t="shared" si="26"/>
        <v xml:space="preserve"> </v>
      </c>
    </row>
    <row r="142" spans="1:12" x14ac:dyDescent="0.25">
      <c r="A142" s="80">
        <v>115</v>
      </c>
      <c r="C142" s="8">
        <f t="shared" si="21"/>
        <v>6</v>
      </c>
      <c r="D142" s="8">
        <f t="shared" si="20"/>
        <v>6</v>
      </c>
      <c r="E142" s="8">
        <f t="shared" si="24"/>
        <v>1.03</v>
      </c>
      <c r="F142" s="8">
        <f t="shared" si="23"/>
        <v>1.75</v>
      </c>
      <c r="G142" s="120">
        <f t="shared" si="33"/>
        <v>3.0428999999999999</v>
      </c>
      <c r="H142" s="8">
        <f>beregningsark!B126</f>
        <v>90.188125866966601</v>
      </c>
      <c r="I142" s="9">
        <f>beregningsark!U126*1000</f>
        <v>1062.7478334483203</v>
      </c>
      <c r="J142" s="106">
        <f>beregningsark!T126</f>
        <v>2.8632380177399548</v>
      </c>
      <c r="K142" s="81">
        <f>beregningsark!H126</f>
        <v>3.7734424153744719</v>
      </c>
      <c r="L142" s="115" t="str">
        <f t="shared" si="26"/>
        <v xml:space="preserve"> </v>
      </c>
    </row>
    <row r="143" spans="1:12" x14ac:dyDescent="0.25">
      <c r="A143" s="80">
        <v>116</v>
      </c>
      <c r="C143" s="8">
        <f t="shared" si="21"/>
        <v>6</v>
      </c>
      <c r="D143" s="8">
        <f t="shared" ref="D143:D206" si="34">IF($A143&lt;$B$15+1,D$15,IF($A143&lt;$B$16+1,D$16,IF($A143&lt;$B$17+1,D$17,IF($A143&lt;$B$18+1,D$18,IF($A143&lt;$B$19+1,D$19,IF($A143&lt;$B$20+1,D$20,IF($A143&lt;$B$21+1,D$21,"?")))))))</f>
        <v>6</v>
      </c>
      <c r="E143" s="8">
        <f t="shared" si="24"/>
        <v>1.03</v>
      </c>
      <c r="F143" s="8">
        <f t="shared" si="23"/>
        <v>1.75</v>
      </c>
      <c r="G143" s="120">
        <f t="shared" si="33"/>
        <v>3.0571999999999999</v>
      </c>
      <c r="H143" s="8">
        <f>beregningsark!B127</f>
        <v>91.250873700414928</v>
      </c>
      <c r="I143" s="9">
        <f>beregningsark!U127*1000</f>
        <v>1063.4494843823929</v>
      </c>
      <c r="J143" s="106">
        <f>beregningsark!T127</f>
        <v>2.8747956954208256</v>
      </c>
      <c r="K143" s="81">
        <f>beregningsark!H127</f>
        <v>3.8020401333241867</v>
      </c>
      <c r="L143" s="115" t="str">
        <f t="shared" si="26"/>
        <v xml:space="preserve"> </v>
      </c>
    </row>
    <row r="144" spans="1:12" x14ac:dyDescent="0.25">
      <c r="A144" s="80">
        <v>117</v>
      </c>
      <c r="C144" s="8">
        <f t="shared" si="21"/>
        <v>6</v>
      </c>
      <c r="D144" s="8">
        <f t="shared" si="34"/>
        <v>6</v>
      </c>
      <c r="E144" s="8">
        <f t="shared" si="24"/>
        <v>1.03</v>
      </c>
      <c r="F144" s="8">
        <f t="shared" si="23"/>
        <v>1.75</v>
      </c>
      <c r="G144" s="120">
        <f t="shared" si="33"/>
        <v>3.0714999999999999</v>
      </c>
      <c r="H144" s="8">
        <f>beregningsark!B128</f>
        <v>92.314323184797317</v>
      </c>
      <c r="I144" s="9">
        <f>beregningsark!U128*1000</f>
        <v>1064.1339835414585</v>
      </c>
      <c r="J144" s="106">
        <f>beregningsark!T128</f>
        <v>2.8863846540996545</v>
      </c>
      <c r="K144" s="81">
        <f>beregningsark!H128</f>
        <v>3.8302316653356345</v>
      </c>
      <c r="L144" s="115" t="str">
        <f t="shared" si="26"/>
        <v xml:space="preserve"> </v>
      </c>
    </row>
    <row r="145" spans="1:12" x14ac:dyDescent="0.25">
      <c r="A145" s="80">
        <v>118</v>
      </c>
      <c r="C145" s="8">
        <f t="shared" si="21"/>
        <v>6</v>
      </c>
      <c r="D145" s="8">
        <f t="shared" si="34"/>
        <v>6</v>
      </c>
      <c r="E145" s="8">
        <f t="shared" si="24"/>
        <v>1.03</v>
      </c>
      <c r="F145" s="8">
        <f t="shared" si="23"/>
        <v>1.75</v>
      </c>
      <c r="G145" s="120">
        <f t="shared" si="33"/>
        <v>3.0857999999999999</v>
      </c>
      <c r="H145" s="8">
        <f>beregningsark!B129</f>
        <v>93.37845716833877</v>
      </c>
      <c r="I145" s="9">
        <f>beregningsark!U129*1000</f>
        <v>1064.801599671986</v>
      </c>
      <c r="J145" s="106">
        <f>beregningsark!T129</f>
        <v>2.8980046620427564</v>
      </c>
      <c r="K145" s="81">
        <f>beregningsark!H129</f>
        <v>3.8580138184988386</v>
      </c>
      <c r="L145" s="115" t="str">
        <f t="shared" si="26"/>
        <v xml:space="preserve"> </v>
      </c>
    </row>
    <row r="146" spans="1:12" x14ac:dyDescent="0.25">
      <c r="A146" s="80">
        <v>119</v>
      </c>
      <c r="B146" s="78">
        <v>17</v>
      </c>
      <c r="C146" s="15">
        <f t="shared" si="21"/>
        <v>6</v>
      </c>
      <c r="D146" s="15">
        <f t="shared" si="34"/>
        <v>6</v>
      </c>
      <c r="E146" s="15">
        <f t="shared" si="24"/>
        <v>1.03</v>
      </c>
      <c r="F146" s="15">
        <f t="shared" si="23"/>
        <v>1.75</v>
      </c>
      <c r="G146" s="98">
        <v>3.1</v>
      </c>
      <c r="H146" s="15">
        <f>beregningsark!B130</f>
        <v>94.44325876801075</v>
      </c>
      <c r="I146" s="108">
        <f>beregningsark!U130*1000</f>
        <v>1065.4182276359479</v>
      </c>
      <c r="J146" s="109">
        <f>beregningsark!T130</f>
        <v>2.90965549451747</v>
      </c>
      <c r="K146" s="81">
        <f>beregningsark!H130</f>
        <v>3.8853834264279117</v>
      </c>
      <c r="L146" s="115" t="str">
        <f t="shared" si="26"/>
        <v xml:space="preserve"> </v>
      </c>
    </row>
    <row r="147" spans="1:12" x14ac:dyDescent="0.25">
      <c r="A147" s="80">
        <v>120</v>
      </c>
      <c r="C147" s="8">
        <f t="shared" si="21"/>
        <v>6</v>
      </c>
      <c r="D147" s="8">
        <f t="shared" si="34"/>
        <v>6</v>
      </c>
      <c r="E147" s="8">
        <f t="shared" si="24"/>
        <v>1.03</v>
      </c>
      <c r="F147" s="8">
        <f t="shared" si="23"/>
        <v>1.75</v>
      </c>
      <c r="G147" s="120">
        <f>G146+(G$153-G$146)*0.143</f>
        <v>3.1143000000000001</v>
      </c>
      <c r="H147" s="8">
        <f>beregningsark!B131</f>
        <v>95.508676995646695</v>
      </c>
      <c r="I147" s="9">
        <f>beregningsark!U131*1000</f>
        <v>1066.0531326701607</v>
      </c>
      <c r="J147" s="106">
        <f>beregningsark!T131</f>
        <v>2.9213365680935262</v>
      </c>
      <c r="K147" s="81">
        <f>beregningsark!H131</f>
        <v>3.9123364864583619</v>
      </c>
      <c r="L147" s="115" t="str">
        <f t="shared" si="26"/>
        <v xml:space="preserve"> </v>
      </c>
    </row>
    <row r="148" spans="1:12" x14ac:dyDescent="0.25">
      <c r="A148" s="80">
        <v>121</v>
      </c>
      <c r="C148" s="8">
        <f t="shared" ref="C148:C211" si="35">IF($A148&lt;$B$15+1,C$15,IF($A148&lt;$B$16+1,C$16,IF($A148&lt;$B$17+1,C$17,IF($A148&lt;$B$18+1,C$18,IF($A148&lt;$B$19+1,C$19,IF($A148&lt;$B$20+1,C$20,IF(A148&lt;$B$21+1,C$21,"?")))))))</f>
        <v>6</v>
      </c>
      <c r="D148" s="8">
        <f t="shared" si="34"/>
        <v>6</v>
      </c>
      <c r="E148" s="8">
        <f t="shared" si="24"/>
        <v>1.03</v>
      </c>
      <c r="F148" s="8">
        <f t="shared" si="23"/>
        <v>1.75</v>
      </c>
      <c r="G148" s="120">
        <f t="shared" ref="G148:G152" si="36">G147+(G$153-G$146)*0.143</f>
        <v>3.1286</v>
      </c>
      <c r="H148" s="8">
        <f>beregningsark!B132</f>
        <v>96.574730128316858</v>
      </c>
      <c r="I148" s="9">
        <f>beregningsark!U132*1000</f>
        <v>1066.6719258094884</v>
      </c>
      <c r="J148" s="106">
        <f>beregningsark!T132</f>
        <v>2.9330480387638698</v>
      </c>
      <c r="K148" s="81">
        <f>beregningsark!H132</f>
        <v>3.9388707814716306</v>
      </c>
      <c r="L148" s="115" t="str">
        <f t="shared" si="26"/>
        <v xml:space="preserve"> </v>
      </c>
    </row>
    <row r="149" spans="1:12" x14ac:dyDescent="0.25">
      <c r="A149" s="80">
        <v>122</v>
      </c>
      <c r="C149" s="8">
        <f t="shared" si="35"/>
        <v>6</v>
      </c>
      <c r="D149" s="8">
        <f t="shared" si="34"/>
        <v>6</v>
      </c>
      <c r="E149" s="8">
        <f t="shared" si="24"/>
        <v>1.03</v>
      </c>
      <c r="F149" s="8">
        <f t="shared" si="23"/>
        <v>1.75</v>
      </c>
      <c r="G149" s="120">
        <f t="shared" si="36"/>
        <v>3.1429</v>
      </c>
      <c r="H149" s="8">
        <f>beregningsark!B133</f>
        <v>97.641402054126345</v>
      </c>
      <c r="I149" s="9">
        <f>beregningsark!U133*1000</f>
        <v>1067.2748545291752</v>
      </c>
      <c r="J149" s="106">
        <f>beregningsark!T133</f>
        <v>2.9447897012306918</v>
      </c>
      <c r="K149" s="81">
        <f>beregningsark!H133</f>
        <v>3.964983222432231</v>
      </c>
      <c r="L149" s="115" t="str">
        <f t="shared" si="26"/>
        <v xml:space="preserve"> </v>
      </c>
    </row>
    <row r="150" spans="1:12" x14ac:dyDescent="0.25">
      <c r="A150" s="80">
        <v>123</v>
      </c>
      <c r="C150" s="8">
        <f t="shared" si="35"/>
        <v>6</v>
      </c>
      <c r="D150" s="8">
        <f t="shared" si="34"/>
        <v>6</v>
      </c>
      <c r="E150" s="8">
        <f t="shared" si="24"/>
        <v>1.03</v>
      </c>
      <c r="F150" s="8">
        <f t="shared" si="23"/>
        <v>1.75</v>
      </c>
      <c r="G150" s="120">
        <f t="shared" si="36"/>
        <v>3.1572</v>
      </c>
      <c r="H150" s="8">
        <f>beregningsark!B134</f>
        <v>98.708676908655519</v>
      </c>
      <c r="I150" s="9">
        <f>beregningsark!U134*1000</f>
        <v>1067.8621613464888</v>
      </c>
      <c r="J150" s="106">
        <f>beregningsark!T134</f>
        <v>2.9565613562138231</v>
      </c>
      <c r="K150" s="81">
        <f>beregningsark!H134</f>
        <v>3.9906707454995156</v>
      </c>
      <c r="L150" s="115" t="str">
        <f t="shared" si="26"/>
        <v xml:space="preserve"> </v>
      </c>
    </row>
    <row r="151" spans="1:12" x14ac:dyDescent="0.25">
      <c r="A151" s="80">
        <v>124</v>
      </c>
      <c r="C151" s="8">
        <f t="shared" si="35"/>
        <v>6</v>
      </c>
      <c r="D151" s="8">
        <f t="shared" si="34"/>
        <v>6</v>
      </c>
      <c r="E151" s="8">
        <f t="shared" si="24"/>
        <v>1.03</v>
      </c>
      <c r="F151" s="8">
        <f t="shared" si="23"/>
        <v>1.75</v>
      </c>
      <c r="G151" s="120">
        <f t="shared" si="36"/>
        <v>3.1715</v>
      </c>
      <c r="H151" s="8">
        <f>beregningsark!B135</f>
        <v>99.776539070002002</v>
      </c>
      <c r="I151" s="9">
        <f>beregningsark!U135*1000</f>
        <v>1068.4340839560882</v>
      </c>
      <c r="J151" s="106">
        <f>beregningsark!T135</f>
        <v>2.9683628102324242</v>
      </c>
      <c r="K151" s="81">
        <f>beregningsark!H135</f>
        <v>4.0159303117167298</v>
      </c>
      <c r="L151" s="115" t="str">
        <f t="shared" si="26"/>
        <v xml:space="preserve"> </v>
      </c>
    </row>
    <row r="152" spans="1:12" x14ac:dyDescent="0.25">
      <c r="A152" s="80">
        <v>125</v>
      </c>
      <c r="C152" s="8">
        <f t="shared" si="35"/>
        <v>6</v>
      </c>
      <c r="D152" s="8">
        <f t="shared" si="34"/>
        <v>6</v>
      </c>
      <c r="E152" s="8">
        <f t="shared" si="24"/>
        <v>1.03</v>
      </c>
      <c r="F152" s="8">
        <f t="shared" si="23"/>
        <v>1.75</v>
      </c>
      <c r="G152" s="120">
        <f t="shared" si="36"/>
        <v>3.1858</v>
      </c>
      <c r="H152" s="8">
        <f>beregningsark!B136</f>
        <v>100.84497315395809</v>
      </c>
      <c r="I152" s="9">
        <f>beregningsark!U136*1000</f>
        <v>1068.99085536039</v>
      </c>
      <c r="J152" s="106">
        <f>beregningsark!T136</f>
        <v>2.9801938753965938</v>
      </c>
      <c r="K152" s="81">
        <f>beregningsark!H136</f>
        <v>4.0366161953906934</v>
      </c>
      <c r="L152" s="115" t="str">
        <f t="shared" si="26"/>
        <v xml:space="preserve"> </v>
      </c>
    </row>
    <row r="153" spans="1:12" x14ac:dyDescent="0.25">
      <c r="A153" s="80">
        <v>126</v>
      </c>
      <c r="B153" s="78">
        <v>18</v>
      </c>
      <c r="C153" s="15">
        <f t="shared" si="35"/>
        <v>6</v>
      </c>
      <c r="D153" s="15">
        <f t="shared" si="34"/>
        <v>6</v>
      </c>
      <c r="E153" s="15">
        <f t="shared" si="24"/>
        <v>1.03</v>
      </c>
      <c r="F153" s="15">
        <f t="shared" si="23"/>
        <v>1.75</v>
      </c>
      <c r="G153" s="98">
        <v>3.2</v>
      </c>
      <c r="H153" s="15">
        <f>beregningsark!B137</f>
        <v>101.91396400931848</v>
      </c>
      <c r="I153" s="108">
        <f>beregningsark!U137*1000</f>
        <v>1069.4992821426172</v>
      </c>
      <c r="J153" s="109">
        <f>beregningsark!T137</f>
        <v>2.9920543692083394</v>
      </c>
      <c r="K153" s="81">
        <f>beregningsark!H137</f>
        <v>4.0557253876419166</v>
      </c>
      <c r="L153" s="115" t="str">
        <f t="shared" si="26"/>
        <v xml:space="preserve"> </v>
      </c>
    </row>
    <row r="154" spans="1:12" x14ac:dyDescent="0.25">
      <c r="A154" s="80">
        <v>127</v>
      </c>
      <c r="C154" s="8">
        <f t="shared" si="35"/>
        <v>6</v>
      </c>
      <c r="D154" s="8">
        <f t="shared" si="34"/>
        <v>6</v>
      </c>
      <c r="E154" s="8">
        <f t="shared" si="24"/>
        <v>1.03</v>
      </c>
      <c r="F154" s="8">
        <f t="shared" si="23"/>
        <v>1.75</v>
      </c>
      <c r="G154" s="120">
        <f>G153+(G$160-G$153)*0.143</f>
        <v>3.2286000000000001</v>
      </c>
      <c r="H154" s="8">
        <f>beregningsark!B138</f>
        <v>102.98346329146109</v>
      </c>
      <c r="I154" s="9">
        <f>beregningsark!U138*1000</f>
        <v>1074.7870994856523</v>
      </c>
      <c r="J154" s="106">
        <f>beregningsark!T138</f>
        <v>3.00394375922922</v>
      </c>
      <c r="K154" s="81">
        <f>beregningsark!H138</f>
        <v>4.0743465414616686</v>
      </c>
      <c r="L154" s="115" t="str">
        <f t="shared" si="26"/>
        <v xml:space="preserve"> </v>
      </c>
    </row>
    <row r="155" spans="1:12" x14ac:dyDescent="0.25">
      <c r="A155" s="80">
        <v>128</v>
      </c>
      <c r="C155" s="8">
        <f t="shared" si="35"/>
        <v>6</v>
      </c>
      <c r="D155" s="8">
        <f t="shared" si="34"/>
        <v>6</v>
      </c>
      <c r="E155" s="8">
        <f t="shared" si="24"/>
        <v>1.03</v>
      </c>
      <c r="F155" s="8">
        <f t="shared" ref="F155:F217" si="37">IF($A155&lt;$B$15+1,F$15,IF($A155&lt;$B$16+1,F$16,IF($A155&lt;$B$17+1,F$17,IF($A155&lt;$B$18+1,F$18,IF($A155&lt;$B$19+1,F$19,IF($A155&lt;$B$20+1,F$20,F$21))))))</f>
        <v>1.75</v>
      </c>
      <c r="G155" s="120">
        <f t="shared" ref="G155:G159" si="38">G154+(G$160-G$153)*0.143</f>
        <v>3.2572000000000001</v>
      </c>
      <c r="H155" s="8">
        <f>beregningsark!B139</f>
        <v>104.05825039094674</v>
      </c>
      <c r="I155" s="9">
        <f>beregningsark!U139*1000</f>
        <v>1080.0046957514858</v>
      </c>
      <c r="J155" s="106">
        <f>beregningsark!T139</f>
        <v>3.0159128129841921</v>
      </c>
      <c r="K155" s="81">
        <f>beregningsark!H139</f>
        <v>4.0925588229572005</v>
      </c>
      <c r="L155" s="115" t="str">
        <f t="shared" si="26"/>
        <v xml:space="preserve"> </v>
      </c>
    </row>
    <row r="156" spans="1:12" x14ac:dyDescent="0.25">
      <c r="A156" s="80">
        <v>129</v>
      </c>
      <c r="C156" s="8">
        <f t="shared" si="35"/>
        <v>6</v>
      </c>
      <c r="D156" s="8">
        <f t="shared" si="34"/>
        <v>6</v>
      </c>
      <c r="E156" s="8">
        <f t="shared" ref="E156:E219" si="39">IF($A156&lt;$B$15+1,E$15,IF($A156&lt;$B$16+1,E$16,IF($A156&lt;$B$17+1,E$17,IF($A156&lt;$B$18+1,E$18,IF($A156&lt;$B$19+1,E$19,IF($A156&lt;$B$20+1,E$20,IF($A156&lt;B$21+1,E$21,"?")))))))</f>
        <v>1.03</v>
      </c>
      <c r="F156" s="8">
        <f t="shared" si="37"/>
        <v>1.75</v>
      </c>
      <c r="G156" s="120">
        <f t="shared" si="38"/>
        <v>3.2858000000000001</v>
      </c>
      <c r="H156" s="8">
        <f>beregningsark!B140</f>
        <v>105.13825508669822</v>
      </c>
      <c r="I156" s="9">
        <f>beregningsark!U140*1000</f>
        <v>1085.1527205611051</v>
      </c>
      <c r="J156" s="106">
        <f>beregningsark!T140</f>
        <v>3.0279608922705328</v>
      </c>
      <c r="K156" s="81">
        <f>beregningsark!H140</f>
        <v>4.1103536797023734</v>
      </c>
      <c r="L156" s="115" t="str">
        <f t="shared" ref="L156:L219" si="40">IF(G156&gt;J$23,"hvis kolonne G er større end slutfoderstyrke, bruges slutfoderstyrke!"," ")</f>
        <v xml:space="preserve"> </v>
      </c>
    </row>
    <row r="157" spans="1:12" x14ac:dyDescent="0.25">
      <c r="A157" s="80">
        <v>130</v>
      </c>
      <c r="C157" s="8">
        <f t="shared" si="35"/>
        <v>6</v>
      </c>
      <c r="D157" s="8">
        <f t="shared" si="34"/>
        <v>6</v>
      </c>
      <c r="E157" s="8">
        <f t="shared" si="39"/>
        <v>1.03</v>
      </c>
      <c r="F157" s="8">
        <f t="shared" si="37"/>
        <v>1.75</v>
      </c>
      <c r="G157" s="120">
        <f t="shared" si="38"/>
        <v>3.3144</v>
      </c>
      <c r="H157" s="8">
        <f>beregningsark!B141</f>
        <v>106.22340780725933</v>
      </c>
      <c r="I157" s="9">
        <f>beregningsark!U141*1000</f>
        <v>1090.2318244401727</v>
      </c>
      <c r="J157" s="106">
        <f>beregningsark!T141</f>
        <v>3.040087370135176</v>
      </c>
      <c r="K157" s="81">
        <f>beregningsark!H141</f>
        <v>4.1277226655665027</v>
      </c>
      <c r="L157" s="115" t="str">
        <f t="shared" si="40"/>
        <v xml:space="preserve"> </v>
      </c>
    </row>
    <row r="158" spans="1:12" x14ac:dyDescent="0.25">
      <c r="A158" s="80">
        <v>131</v>
      </c>
      <c r="C158" s="8">
        <f t="shared" si="35"/>
        <v>6</v>
      </c>
      <c r="D158" s="8">
        <f t="shared" si="34"/>
        <v>6</v>
      </c>
      <c r="E158" s="8">
        <f t="shared" si="39"/>
        <v>1.03</v>
      </c>
      <c r="F158" s="8">
        <f t="shared" si="37"/>
        <v>1.75</v>
      </c>
      <c r="G158" s="120">
        <f t="shared" si="38"/>
        <v>3.343</v>
      </c>
      <c r="H158" s="8">
        <f>beregningsark!B142</f>
        <v>107.3136396316995</v>
      </c>
      <c r="I158" s="9">
        <f>beregningsark!U142*1000</f>
        <v>1095.2426584732834</v>
      </c>
      <c r="J158" s="106">
        <f>beregningsark!T142</f>
        <v>3.052291630660172</v>
      </c>
      <c r="K158" s="81">
        <f>beregningsark!H142</f>
        <v>4.144657440770815</v>
      </c>
      <c r="L158" s="115" t="str">
        <f t="shared" si="40"/>
        <v xml:space="preserve"> </v>
      </c>
    </row>
    <row r="159" spans="1:12" x14ac:dyDescent="0.25">
      <c r="A159" s="80">
        <v>132</v>
      </c>
      <c r="C159" s="8">
        <f t="shared" si="35"/>
        <v>6</v>
      </c>
      <c r="D159" s="8">
        <f t="shared" si="34"/>
        <v>6</v>
      </c>
      <c r="E159" s="8">
        <f t="shared" si="39"/>
        <v>1.03</v>
      </c>
      <c r="F159" s="8">
        <f t="shared" si="37"/>
        <v>1.75</v>
      </c>
      <c r="G159" s="120">
        <f t="shared" si="38"/>
        <v>3.3715999999999999</v>
      </c>
      <c r="H159" s="8">
        <f>beregningsark!B143</f>
        <v>108.40888229017278</v>
      </c>
      <c r="I159" s="9">
        <f>beregningsark!U143*1000</f>
        <v>1100.1858739726249</v>
      </c>
      <c r="J159" s="106">
        <f>beregningsark!T143</f>
        <v>3.0645730687539197</v>
      </c>
      <c r="K159" s="81">
        <f>beregningsark!H143</f>
        <v>4.1611497718945367</v>
      </c>
      <c r="L159" s="115" t="str">
        <f t="shared" si="40"/>
        <v xml:space="preserve"> </v>
      </c>
    </row>
    <row r="160" spans="1:12" x14ac:dyDescent="0.25">
      <c r="A160" s="80">
        <v>133</v>
      </c>
      <c r="B160" s="78">
        <v>19</v>
      </c>
      <c r="C160" s="15">
        <f t="shared" si="35"/>
        <v>4</v>
      </c>
      <c r="D160" s="15">
        <f t="shared" si="34"/>
        <v>4</v>
      </c>
      <c r="E160" s="15">
        <f t="shared" si="39"/>
        <v>1.02</v>
      </c>
      <c r="F160" s="15">
        <f t="shared" si="37"/>
        <v>1.7</v>
      </c>
      <c r="G160" s="98">
        <v>3.4</v>
      </c>
      <c r="H160" s="15">
        <f>beregningsark!B144</f>
        <v>109.5090681641454</v>
      </c>
      <c r="I160" s="108">
        <f>beregningsark!U144*1000</f>
        <v>856.05469180127375</v>
      </c>
      <c r="J160" s="109">
        <f>beregningsark!T144</f>
        <v>3.9717088552436581</v>
      </c>
      <c r="K160" s="81">
        <f>beregningsark!H144</f>
        <v>4.1645077518776521</v>
      </c>
      <c r="L160" s="115" t="str">
        <f t="shared" si="40"/>
        <v xml:space="preserve"> </v>
      </c>
    </row>
    <row r="161" spans="1:12" x14ac:dyDescent="0.25">
      <c r="A161" s="80">
        <v>134</v>
      </c>
      <c r="C161" s="8">
        <f t="shared" si="35"/>
        <v>4</v>
      </c>
      <c r="D161" s="8">
        <f t="shared" si="34"/>
        <v>4</v>
      </c>
      <c r="E161" s="8">
        <f t="shared" si="39"/>
        <v>1.02</v>
      </c>
      <c r="F161" s="8">
        <f t="shared" si="37"/>
        <v>1.7</v>
      </c>
      <c r="G161" s="120">
        <f>G160+(G$167-G$160)*0.143</f>
        <v>3.4</v>
      </c>
      <c r="H161" s="8">
        <f>beregningsark!B145</f>
        <v>110.36512285594668</v>
      </c>
      <c r="I161" s="9">
        <f>beregningsark!U145*1000</f>
        <v>855.84357505902483</v>
      </c>
      <c r="J161" s="106">
        <f>beregningsark!T145</f>
        <v>3.97268858361823</v>
      </c>
      <c r="K161" s="81">
        <f>beregningsark!H145</f>
        <v>4.1765890486919615</v>
      </c>
      <c r="L161" s="115" t="str">
        <f t="shared" si="40"/>
        <v xml:space="preserve"> </v>
      </c>
    </row>
    <row r="162" spans="1:12" x14ac:dyDescent="0.25">
      <c r="A162" s="80">
        <v>135</v>
      </c>
      <c r="C162" s="8">
        <f t="shared" si="35"/>
        <v>4</v>
      </c>
      <c r="D162" s="8">
        <f t="shared" si="34"/>
        <v>4</v>
      </c>
      <c r="E162" s="8">
        <f t="shared" si="39"/>
        <v>1.02</v>
      </c>
      <c r="F162" s="8">
        <f t="shared" si="37"/>
        <v>1.7</v>
      </c>
      <c r="G162" s="120">
        <f t="shared" ref="G162:G166" si="41">G161+(G$167-G$160)*0.143</f>
        <v>3.4</v>
      </c>
      <c r="H162" s="8">
        <f>beregningsark!B146</f>
        <v>111.22096643100571</v>
      </c>
      <c r="I162" s="9">
        <f>beregningsark!U146*1000</f>
        <v>855.63326773202868</v>
      </c>
      <c r="J162" s="106">
        <f>beregningsark!T146</f>
        <v>3.9736650364380508</v>
      </c>
      <c r="K162" s="81">
        <f>beregningsark!H146</f>
        <v>4.1883498751830741</v>
      </c>
      <c r="L162" s="115" t="str">
        <f t="shared" si="40"/>
        <v xml:space="preserve"> </v>
      </c>
    </row>
    <row r="163" spans="1:12" x14ac:dyDescent="0.25">
      <c r="A163" s="80">
        <v>136</v>
      </c>
      <c r="C163" s="8">
        <f t="shared" si="35"/>
        <v>4</v>
      </c>
      <c r="D163" s="8">
        <f t="shared" si="34"/>
        <v>4</v>
      </c>
      <c r="E163" s="8">
        <f t="shared" si="39"/>
        <v>1.02</v>
      </c>
      <c r="F163" s="8">
        <f t="shared" si="37"/>
        <v>1.7</v>
      </c>
      <c r="G163" s="120">
        <f t="shared" si="41"/>
        <v>3.4</v>
      </c>
      <c r="H163" s="8">
        <f>beregningsark!B147</f>
        <v>112.07659969873774</v>
      </c>
      <c r="I163" s="9">
        <f>beregningsark!U147*1000</f>
        <v>855.42376100253568</v>
      </c>
      <c r="J163" s="106">
        <f>beregningsark!T147</f>
        <v>3.9746382494861763</v>
      </c>
      <c r="K163" s="81">
        <f>beregningsark!H147</f>
        <v>4.199790476947455</v>
      </c>
      <c r="L163" s="115" t="str">
        <f t="shared" si="40"/>
        <v xml:space="preserve"> </v>
      </c>
    </row>
    <row r="164" spans="1:12" x14ac:dyDescent="0.25">
      <c r="A164" s="80">
        <v>137</v>
      </c>
      <c r="C164" s="8">
        <f t="shared" si="35"/>
        <v>4</v>
      </c>
      <c r="D164" s="8">
        <f t="shared" si="34"/>
        <v>4</v>
      </c>
      <c r="E164" s="8">
        <f t="shared" si="39"/>
        <v>1.02</v>
      </c>
      <c r="F164" s="8">
        <f t="shared" si="37"/>
        <v>1.7</v>
      </c>
      <c r="G164" s="120">
        <f t="shared" si="41"/>
        <v>3.4</v>
      </c>
      <c r="H164" s="8">
        <f>beregningsark!B148</f>
        <v>112.93202345974028</v>
      </c>
      <c r="I164" s="9">
        <f>beregningsark!U148*1000</f>
        <v>855.21504621626559</v>
      </c>
      <c r="J164" s="106">
        <f>beregningsark!T148</f>
        <v>3.9756082578792853</v>
      </c>
      <c r="K164" s="81">
        <f>beregningsark!H148</f>
        <v>4.2109110982102846</v>
      </c>
      <c r="L164" s="115" t="str">
        <f t="shared" si="40"/>
        <v xml:space="preserve"> </v>
      </c>
    </row>
    <row r="165" spans="1:12" x14ac:dyDescent="0.25">
      <c r="A165" s="80">
        <v>138</v>
      </c>
      <c r="C165" s="8">
        <f t="shared" si="35"/>
        <v>4</v>
      </c>
      <c r="D165" s="8">
        <f t="shared" si="34"/>
        <v>4</v>
      </c>
      <c r="E165" s="8">
        <f t="shared" si="39"/>
        <v>1.02</v>
      </c>
      <c r="F165" s="8">
        <f t="shared" si="37"/>
        <v>1.7</v>
      </c>
      <c r="G165" s="120">
        <f t="shared" si="41"/>
        <v>3.4</v>
      </c>
      <c r="H165" s="8">
        <f>beregningsark!B149</f>
        <v>113.78723850595654</v>
      </c>
      <c r="I165" s="9">
        <f>beregningsark!U149*1000</f>
        <v>855.0071148781351</v>
      </c>
      <c r="J165" s="106">
        <f>beregningsark!T149</f>
        <v>3.976575096085142</v>
      </c>
      <c r="K165" s="81">
        <f>beregningsark!H149</f>
        <v>4.2217119818445843</v>
      </c>
      <c r="L165" s="115" t="str">
        <f t="shared" si="40"/>
        <v xml:space="preserve"> </v>
      </c>
    </row>
    <row r="166" spans="1:12" x14ac:dyDescent="0.25">
      <c r="A166" s="80">
        <v>139</v>
      </c>
      <c r="C166" s="8">
        <f t="shared" si="35"/>
        <v>4</v>
      </c>
      <c r="D166" s="8">
        <f t="shared" si="34"/>
        <v>4</v>
      </c>
      <c r="E166" s="8">
        <f t="shared" si="39"/>
        <v>1.02</v>
      </c>
      <c r="F166" s="8">
        <f t="shared" si="37"/>
        <v>1.7</v>
      </c>
      <c r="G166" s="120">
        <f t="shared" si="41"/>
        <v>3.4</v>
      </c>
      <c r="H166" s="8">
        <f>beregningsark!B150</f>
        <v>114.64224562083467</v>
      </c>
      <c r="I166" s="9">
        <f>beregningsark!U150*1000</f>
        <v>854.79995864813191</v>
      </c>
      <c r="J166" s="106">
        <f>beregningsark!T150</f>
        <v>3.977538797939471</v>
      </c>
      <c r="K166" s="81">
        <f>beregningsark!H150</f>
        <v>4.2321933693898854</v>
      </c>
      <c r="L166" s="115" t="str">
        <f t="shared" si="40"/>
        <v xml:space="preserve"> </v>
      </c>
    </row>
    <row r="167" spans="1:12" x14ac:dyDescent="0.25">
      <c r="A167" s="80">
        <v>140</v>
      </c>
      <c r="B167" s="78">
        <v>20</v>
      </c>
      <c r="C167" s="15">
        <f t="shared" si="35"/>
        <v>4</v>
      </c>
      <c r="D167" s="15">
        <f t="shared" si="34"/>
        <v>4</v>
      </c>
      <c r="E167" s="15">
        <f t="shared" si="39"/>
        <v>1.02</v>
      </c>
      <c r="F167" s="15">
        <f t="shared" si="37"/>
        <v>1.7</v>
      </c>
      <c r="G167" s="98">
        <v>3.4</v>
      </c>
      <c r="H167" s="15">
        <f>beregningsark!B151</f>
        <v>115.4970455794828</v>
      </c>
      <c r="I167" s="108">
        <f>beregningsark!U151*1000</f>
        <v>854.59356933732477</v>
      </c>
      <c r="J167" s="109">
        <f>beregningsark!T151</f>
        <v>3.9784993966622673</v>
      </c>
      <c r="K167" s="81">
        <f>beregningsark!H151</f>
        <v>4.2423555010705041</v>
      </c>
      <c r="L167" s="115" t="str">
        <f t="shared" si="40"/>
        <v xml:space="preserve"> </v>
      </c>
    </row>
    <row r="168" spans="1:12" x14ac:dyDescent="0.25">
      <c r="A168" s="80">
        <v>141</v>
      </c>
      <c r="C168" s="8">
        <f t="shared" si="35"/>
        <v>4</v>
      </c>
      <c r="D168" s="8">
        <f t="shared" si="34"/>
        <v>4</v>
      </c>
      <c r="E168" s="8">
        <f t="shared" si="39"/>
        <v>1.02</v>
      </c>
      <c r="F168" s="8">
        <f t="shared" si="37"/>
        <v>1.7</v>
      </c>
      <c r="G168" s="120">
        <f>G167+(G$174-G$167)*0.143</f>
        <v>3.4</v>
      </c>
      <c r="H168" s="8">
        <f>beregningsark!B152</f>
        <v>116.35163914882013</v>
      </c>
      <c r="I168" s="9">
        <f>beregningsark!U152*1000</f>
        <v>854.38793890400564</v>
      </c>
      <c r="J168" s="106">
        <f>beregningsark!T152</f>
        <v>3.9794569248735674</v>
      </c>
      <c r="K168" s="81">
        <f>beregningsark!H152</f>
        <v>4.2521986158133975</v>
      </c>
      <c r="L168" s="115" t="str">
        <f t="shared" si="40"/>
        <v xml:space="preserve"> </v>
      </c>
    </row>
    <row r="169" spans="1:12" x14ac:dyDescent="0.25">
      <c r="A169" s="80">
        <v>142</v>
      </c>
      <c r="C169" s="8">
        <f t="shared" si="35"/>
        <v>4</v>
      </c>
      <c r="D169" s="8">
        <f t="shared" si="34"/>
        <v>4</v>
      </c>
      <c r="E169" s="8">
        <f t="shared" si="39"/>
        <v>1.02</v>
      </c>
      <c r="F169" s="8">
        <f t="shared" si="37"/>
        <v>1.7</v>
      </c>
      <c r="G169" s="120">
        <f t="shared" ref="G169:G173" si="42">G168+(G$174-G$167)*0.143</f>
        <v>3.4</v>
      </c>
      <c r="H169" s="8">
        <f>beregningsark!B153</f>
        <v>117.20602708772414</v>
      </c>
      <c r="I169" s="9">
        <f>beregningsark!U153*1000</f>
        <v>854.18305944995927</v>
      </c>
      <c r="J169" s="106">
        <f>beregningsark!T153</f>
        <v>3.9804114146087</v>
      </c>
      <c r="K169" s="81">
        <f>beregningsark!H153</f>
        <v>4.2617229512656385</v>
      </c>
      <c r="L169" s="115" t="str">
        <f t="shared" si="40"/>
        <v xml:space="preserve"> </v>
      </c>
    </row>
    <row r="170" spans="1:12" x14ac:dyDescent="0.25">
      <c r="A170" s="80">
        <v>143</v>
      </c>
      <c r="C170" s="8">
        <f t="shared" si="35"/>
        <v>4</v>
      </c>
      <c r="D170" s="8">
        <f t="shared" si="34"/>
        <v>4</v>
      </c>
      <c r="E170" s="8">
        <f t="shared" si="39"/>
        <v>1.02</v>
      </c>
      <c r="F170" s="8">
        <f t="shared" si="37"/>
        <v>1.7</v>
      </c>
      <c r="G170" s="120">
        <f t="shared" si="42"/>
        <v>3.4</v>
      </c>
      <c r="H170" s="8">
        <f>beregningsark!B154</f>
        <v>118.0602101471741</v>
      </c>
      <c r="I170" s="9">
        <f>beregningsark!U154*1000</f>
        <v>853.97892321685345</v>
      </c>
      <c r="J170" s="106">
        <f>beregningsark!T154</f>
        <v>3.9813628973330384</v>
      </c>
      <c r="K170" s="81">
        <f>beregningsark!H154</f>
        <v>4.2709287438115027</v>
      </c>
      <c r="L170" s="115" t="str">
        <f t="shared" si="40"/>
        <v xml:space="preserve"> </v>
      </c>
    </row>
    <row r="171" spans="1:12" x14ac:dyDescent="0.25">
      <c r="A171" s="80">
        <v>144</v>
      </c>
      <c r="C171" s="8">
        <f t="shared" si="35"/>
        <v>4</v>
      </c>
      <c r="D171" s="8">
        <f t="shared" si="34"/>
        <v>4</v>
      </c>
      <c r="E171" s="8">
        <f t="shared" si="39"/>
        <v>1.02</v>
      </c>
      <c r="F171" s="8">
        <f t="shared" si="37"/>
        <v>1.7</v>
      </c>
      <c r="G171" s="120">
        <f t="shared" si="42"/>
        <v>3.4</v>
      </c>
      <c r="H171" s="8">
        <f>beregningsark!B155</f>
        <v>118.91418907039096</v>
      </c>
      <c r="I171" s="9">
        <f>beregningsark!U155*1000</f>
        <v>853.77552258274659</v>
      </c>
      <c r="J171" s="106">
        <f>beregningsark!T155</f>
        <v>3.9823114039562753</v>
      </c>
      <c r="K171" s="81">
        <f>beregningsark!H155</f>
        <v>4.2798162285891861</v>
      </c>
      <c r="L171" s="115" t="str">
        <f t="shared" si="40"/>
        <v xml:space="preserve"> </v>
      </c>
    </row>
    <row r="172" spans="1:12" x14ac:dyDescent="0.25">
      <c r="A172" s="80">
        <v>145</v>
      </c>
      <c r="C172" s="8">
        <f t="shared" si="35"/>
        <v>4</v>
      </c>
      <c r="D172" s="8">
        <f t="shared" si="34"/>
        <v>4</v>
      </c>
      <c r="E172" s="8">
        <f t="shared" si="39"/>
        <v>1.02</v>
      </c>
      <c r="F172" s="8">
        <f t="shared" si="37"/>
        <v>1.7</v>
      </c>
      <c r="G172" s="120">
        <f t="shared" si="42"/>
        <v>3.4</v>
      </c>
      <c r="H172" s="8">
        <f>beregningsark!B156</f>
        <v>119.76796459297371</v>
      </c>
      <c r="I172" s="9">
        <f>beregningsark!U156*1000</f>
        <v>853.57285005870733</v>
      </c>
      <c r="J172" s="106">
        <f>beregningsark!T156</f>
        <v>3.9832569648462384</v>
      </c>
      <c r="K172" s="81">
        <f>beregningsark!H156</f>
        <v>4.2883856395071787</v>
      </c>
      <c r="L172" s="115" t="str">
        <f t="shared" si="40"/>
        <v xml:space="preserve"> </v>
      </c>
    </row>
    <row r="173" spans="1:12" x14ac:dyDescent="0.25">
      <c r="A173" s="80">
        <v>146</v>
      </c>
      <c r="C173" s="8">
        <f t="shared" si="35"/>
        <v>4</v>
      </c>
      <c r="D173" s="8">
        <f t="shared" si="34"/>
        <v>4</v>
      </c>
      <c r="E173" s="8">
        <f t="shared" si="39"/>
        <v>1.02</v>
      </c>
      <c r="F173" s="8">
        <f t="shared" si="37"/>
        <v>1.7</v>
      </c>
      <c r="G173" s="120">
        <f t="shared" si="42"/>
        <v>3.4</v>
      </c>
      <c r="H173" s="8">
        <f>beregningsark!B157</f>
        <v>120.62153744303242</v>
      </c>
      <c r="I173" s="9">
        <f>beregningsark!U157*1000</f>
        <v>853.37089828554281</v>
      </c>
      <c r="J173" s="106">
        <f>beregningsark!T157</f>
        <v>3.9841996098422614</v>
      </c>
      <c r="K173" s="81">
        <f>beregningsark!H157</f>
        <v>4.2966372092602683</v>
      </c>
      <c r="L173" s="115" t="str">
        <f t="shared" si="40"/>
        <v xml:space="preserve"> </v>
      </c>
    </row>
    <row r="174" spans="1:12" x14ac:dyDescent="0.25">
      <c r="A174" s="80">
        <v>147</v>
      </c>
      <c r="B174" s="78">
        <v>21</v>
      </c>
      <c r="C174" s="15">
        <f t="shared" si="35"/>
        <v>4</v>
      </c>
      <c r="D174" s="15">
        <f t="shared" si="34"/>
        <v>4</v>
      </c>
      <c r="E174" s="15">
        <f t="shared" si="39"/>
        <v>1.02</v>
      </c>
      <c r="F174" s="15">
        <f t="shared" si="37"/>
        <v>1.7</v>
      </c>
      <c r="G174" s="98">
        <v>3.4</v>
      </c>
      <c r="H174" s="15">
        <f>beregningsark!B158</f>
        <v>121.47490834131797</v>
      </c>
      <c r="I174" s="108">
        <f>beregningsark!U158*1000</f>
        <v>853.16966003062873</v>
      </c>
      <c r="J174" s="109">
        <f>beregningsark!T158</f>
        <v>3.9851393682681358</v>
      </c>
      <c r="K174" s="81">
        <f>beregningsark!H158</f>
        <v>4.3045711693452295</v>
      </c>
      <c r="L174" s="115" t="str">
        <f t="shared" si="40"/>
        <v xml:space="preserve"> </v>
      </c>
    </row>
    <row r="175" spans="1:12" x14ac:dyDescent="0.25">
      <c r="A175" s="80">
        <v>148</v>
      </c>
      <c r="C175" s="8">
        <f t="shared" si="35"/>
        <v>4</v>
      </c>
      <c r="D175" s="8">
        <f t="shared" si="34"/>
        <v>4</v>
      </c>
      <c r="E175" s="8">
        <f t="shared" si="39"/>
        <v>1.02</v>
      </c>
      <c r="F175" s="8">
        <f t="shared" si="37"/>
        <v>1.7</v>
      </c>
      <c r="G175" s="120">
        <f>G174+(G$181-G$174)*0.143</f>
        <v>3.4</v>
      </c>
      <c r="H175" s="8">
        <f>beregningsark!B159</f>
        <v>122.3280780013486</v>
      </c>
      <c r="I175" s="9">
        <f>beregningsark!U159*1000</f>
        <v>852.9691281848402</v>
      </c>
      <c r="J175" s="106">
        <f>beregningsark!T159</f>
        <v>3.9860762689446516</v>
      </c>
      <c r="K175" s="81">
        <f>beregningsark!H159</f>
        <v>4.3121877500761663</v>
      </c>
      <c r="L175" s="115" t="str">
        <f t="shared" si="40"/>
        <v xml:space="preserve"> </v>
      </c>
    </row>
    <row r="176" spans="1:12" x14ac:dyDescent="0.25">
      <c r="A176" s="80">
        <v>149</v>
      </c>
      <c r="C176" s="8">
        <f t="shared" si="35"/>
        <v>4</v>
      </c>
      <c r="D176" s="8">
        <f t="shared" si="34"/>
        <v>4</v>
      </c>
      <c r="E176" s="8">
        <f t="shared" si="39"/>
        <v>1.02</v>
      </c>
      <c r="F176" s="8">
        <f t="shared" si="37"/>
        <v>1.7</v>
      </c>
      <c r="G176" s="120">
        <f t="shared" ref="G176:G180" si="43">G175+(G$181-G$174)*0.143</f>
        <v>3.4</v>
      </c>
      <c r="H176" s="8">
        <f>beregningsark!B160</f>
        <v>123.18104712953344</v>
      </c>
      <c r="I176" s="9">
        <f>beregningsark!U160*1000</f>
        <v>852.76929575957865</v>
      </c>
      <c r="J176" s="106">
        <f>beregningsark!T160</f>
        <v>3.9870103402017447</v>
      </c>
      <c r="K176" s="81">
        <f>beregningsark!H160</f>
        <v>4.3194871805995501</v>
      </c>
      <c r="L176" s="115" t="str">
        <f t="shared" si="40"/>
        <v xml:space="preserve"> </v>
      </c>
    </row>
    <row r="177" spans="1:12" x14ac:dyDescent="0.25">
      <c r="A177" s="80">
        <v>150</v>
      </c>
      <c r="C177" s="8">
        <f t="shared" si="35"/>
        <v>4</v>
      </c>
      <c r="D177" s="8">
        <f t="shared" si="34"/>
        <v>4</v>
      </c>
      <c r="E177" s="8">
        <f t="shared" si="39"/>
        <v>1.02</v>
      </c>
      <c r="F177" s="8">
        <f t="shared" si="37"/>
        <v>1.7</v>
      </c>
      <c r="G177" s="120">
        <f t="shared" si="43"/>
        <v>3.4</v>
      </c>
      <c r="H177" s="8">
        <f>beregningsark!B161</f>
        <v>124.03381642529301</v>
      </c>
      <c r="I177" s="9">
        <f>beregningsark!U161*1000</f>
        <v>852.57015588388992</v>
      </c>
      <c r="J177" s="106">
        <f>beregningsark!T161</f>
        <v>3.9879416098902718</v>
      </c>
      <c r="K177" s="81">
        <f>beregningsark!H161</f>
        <v>4.3264696889089382</v>
      </c>
      <c r="L177" s="115" t="str">
        <f t="shared" si="40"/>
        <v xml:space="preserve"> </v>
      </c>
    </row>
    <row r="178" spans="1:12" x14ac:dyDescent="0.25">
      <c r="A178" s="80">
        <v>151</v>
      </c>
      <c r="C178" s="8">
        <f t="shared" si="35"/>
        <v>4</v>
      </c>
      <c r="D178" s="8">
        <f t="shared" si="34"/>
        <v>4</v>
      </c>
      <c r="E178" s="8">
        <f t="shared" si="39"/>
        <v>1.02</v>
      </c>
      <c r="F178" s="8">
        <f t="shared" si="37"/>
        <v>1.7</v>
      </c>
      <c r="G178" s="120">
        <f t="shared" si="43"/>
        <v>3.4</v>
      </c>
      <c r="H178" s="8">
        <f>beregningsark!B162</f>
        <v>124.88638658117691</v>
      </c>
      <c r="I178" s="9">
        <f>beregningsark!U162*1000</f>
        <v>852.37170180167186</v>
      </c>
      <c r="J178" s="106">
        <f>beregningsark!T162</f>
        <v>3.9888701053934157</v>
      </c>
      <c r="K178" s="81">
        <f>beregningsark!H162</f>
        <v>4.3331355018594007</v>
      </c>
      <c r="L178" s="115" t="str">
        <f t="shared" si="40"/>
        <v xml:space="preserve"> </v>
      </c>
    </row>
    <row r="179" spans="1:12" x14ac:dyDescent="0.25">
      <c r="A179" s="80">
        <v>152</v>
      </c>
      <c r="C179" s="8">
        <f t="shared" si="35"/>
        <v>4</v>
      </c>
      <c r="D179" s="8">
        <f t="shared" si="34"/>
        <v>4</v>
      </c>
      <c r="E179" s="8">
        <f t="shared" si="39"/>
        <v>1.02</v>
      </c>
      <c r="F179" s="8">
        <f t="shared" si="37"/>
        <v>1.7</v>
      </c>
      <c r="G179" s="120">
        <f t="shared" si="43"/>
        <v>3.4</v>
      </c>
      <c r="H179" s="8">
        <f>beregningsark!B163</f>
        <v>125.73875828297858</v>
      </c>
      <c r="I179" s="9">
        <f>beregningsark!U163*1000</f>
        <v>852.17392686896642</v>
      </c>
      <c r="J179" s="106">
        <f>beregningsark!T163</f>
        <v>3.989795853637748</v>
      </c>
      <c r="K179" s="81">
        <f>beregningsark!H163</f>
        <v>4.3394848451816461</v>
      </c>
      <c r="L179" s="115" t="str">
        <f t="shared" si="40"/>
        <v xml:space="preserve"> </v>
      </c>
    </row>
    <row r="180" spans="1:12" x14ac:dyDescent="0.25">
      <c r="A180" s="80">
        <v>153</v>
      </c>
      <c r="C180" s="8">
        <f t="shared" si="35"/>
        <v>4</v>
      </c>
      <c r="D180" s="8">
        <f t="shared" si="34"/>
        <v>4</v>
      </c>
      <c r="E180" s="8">
        <f t="shared" si="39"/>
        <v>1.02</v>
      </c>
      <c r="F180" s="8">
        <f t="shared" si="37"/>
        <v>1.7</v>
      </c>
      <c r="G180" s="120">
        <f t="shared" si="43"/>
        <v>3.4</v>
      </c>
      <c r="H180" s="8">
        <f>beregningsark!B164</f>
        <v>126.59093220984755</v>
      </c>
      <c r="I180" s="9">
        <f>beregningsark!U164*1000</f>
        <v>851.97682455133497</v>
      </c>
      <c r="J180" s="106">
        <f>beregningsark!T164</f>
        <v>3.9907188811039505</v>
      </c>
      <c r="K180" s="81">
        <f>beregningsark!H164</f>
        <v>4.3455179434958735</v>
      </c>
      <c r="L180" s="115" t="str">
        <f t="shared" si="40"/>
        <v xml:space="preserve"> </v>
      </c>
    </row>
    <row r="181" spans="1:12" x14ac:dyDescent="0.25">
      <c r="A181" s="80">
        <v>154</v>
      </c>
      <c r="B181" s="78">
        <v>22</v>
      </c>
      <c r="C181" s="15">
        <f t="shared" si="35"/>
        <v>4</v>
      </c>
      <c r="D181" s="15">
        <f t="shared" si="34"/>
        <v>4</v>
      </c>
      <c r="E181" s="15">
        <f t="shared" si="39"/>
        <v>1.02</v>
      </c>
      <c r="F181" s="15">
        <f t="shared" si="37"/>
        <v>1.7</v>
      </c>
      <c r="G181" s="98">
        <v>3.4</v>
      </c>
      <c r="H181" s="15">
        <f>beregningsark!B165</f>
        <v>127.44290903439888</v>
      </c>
      <c r="I181" s="108">
        <f>beregningsark!U165*1000</f>
        <v>851.78038842131105</v>
      </c>
      <c r="J181" s="109">
        <f>beregningsark!T165</f>
        <v>3.9916392138372152</v>
      </c>
      <c r="K181" s="81">
        <f>beregningsark!H165</f>
        <v>4.3512350203253378</v>
      </c>
      <c r="L181" s="115" t="str">
        <f t="shared" si="40"/>
        <v xml:space="preserve"> </v>
      </c>
    </row>
    <row r="182" spans="1:12" x14ac:dyDescent="0.25">
      <c r="A182" s="80">
        <v>155</v>
      </c>
      <c r="C182" s="8">
        <f t="shared" si="35"/>
        <v>4</v>
      </c>
      <c r="D182" s="8">
        <f t="shared" si="34"/>
        <v>4</v>
      </c>
      <c r="E182" s="8">
        <f t="shared" si="39"/>
        <v>1.02</v>
      </c>
      <c r="F182" s="8">
        <f t="shared" si="37"/>
        <v>1.7</v>
      </c>
      <c r="G182" s="120">
        <f>G181+(G$188-G$181)*0.143</f>
        <v>3.4</v>
      </c>
      <c r="H182" s="8">
        <f>beregningsark!B166</f>
        <v>128.2946894228202</v>
      </c>
      <c r="I182" s="9">
        <f>beregningsark!U166*1000</f>
        <v>851.5846121559315</v>
      </c>
      <c r="J182" s="106">
        <f>beregningsark!T166</f>
        <v>3.992556877457333</v>
      </c>
      <c r="K182" s="81">
        <f>beregningsark!H166</f>
        <v>4.3566362981096516</v>
      </c>
      <c r="L182" s="115" t="str">
        <f t="shared" si="40"/>
        <v xml:space="preserve"> </v>
      </c>
    </row>
    <row r="183" spans="1:12" x14ac:dyDescent="0.25">
      <c r="A183" s="80">
        <v>156</v>
      </c>
      <c r="C183" s="8">
        <f t="shared" si="35"/>
        <v>4</v>
      </c>
      <c r="D183" s="8">
        <f t="shared" si="34"/>
        <v>4</v>
      </c>
      <c r="E183" s="8">
        <f t="shared" si="39"/>
        <v>1.02</v>
      </c>
      <c r="F183" s="8">
        <f t="shared" si="37"/>
        <v>1.7</v>
      </c>
      <c r="G183" s="120">
        <f t="shared" ref="G183:G187" si="44">G182+(G$188-G$181)*0.143</f>
        <v>3.4</v>
      </c>
      <c r="H183" s="8">
        <f>beregningsark!B167</f>
        <v>129.14627403497613</v>
      </c>
      <c r="I183" s="9">
        <f>beregningsark!U167*1000</f>
        <v>851.38948953433942</v>
      </c>
      <c r="J183" s="106">
        <f>beregningsark!T167</f>
        <v>3.9934718971684773</v>
      </c>
      <c r="K183" s="81">
        <f>beregningsark!H167</f>
        <v>4.3617219982178232</v>
      </c>
      <c r="L183" s="115" t="str">
        <f t="shared" si="40"/>
        <v xml:space="preserve"> </v>
      </c>
    </row>
    <row r="184" spans="1:12" x14ac:dyDescent="0.25">
      <c r="A184" s="80">
        <v>157</v>
      </c>
      <c r="C184" s="8">
        <f t="shared" si="35"/>
        <v>4</v>
      </c>
      <c r="D184" s="8">
        <f t="shared" si="34"/>
        <v>4</v>
      </c>
      <c r="E184" s="8">
        <f t="shared" si="39"/>
        <v>1.02</v>
      </c>
      <c r="F184" s="8">
        <f t="shared" si="37"/>
        <v>1.7</v>
      </c>
      <c r="G184" s="120">
        <f t="shared" si="44"/>
        <v>3.4</v>
      </c>
      <c r="H184" s="8">
        <f>beregningsark!B168</f>
        <v>129.99766352451047</v>
      </c>
      <c r="I184" s="9">
        <f>beregningsark!U168*1000</f>
        <v>851.19501443545789</v>
      </c>
      <c r="J184" s="106">
        <f>beregningsark!T168</f>
        <v>3.9943842977687058</v>
      </c>
      <c r="K184" s="81">
        <f>beregningsark!H168</f>
        <v>4.3664923409610452</v>
      </c>
      <c r="L184" s="115" t="str">
        <f t="shared" si="40"/>
        <v xml:space="preserve"> </v>
      </c>
    </row>
    <row r="185" spans="1:12" x14ac:dyDescent="0.25">
      <c r="A185" s="80">
        <v>158</v>
      </c>
      <c r="C185" s="8">
        <f t="shared" si="35"/>
        <v>4</v>
      </c>
      <c r="D185" s="8">
        <f t="shared" si="34"/>
        <v>4</v>
      </c>
      <c r="E185" s="8">
        <f t="shared" si="39"/>
        <v>1.02</v>
      </c>
      <c r="F185" s="8">
        <f t="shared" si="37"/>
        <v>1.7</v>
      </c>
      <c r="G185" s="120">
        <f t="shared" si="44"/>
        <v>3.4</v>
      </c>
      <c r="H185" s="8">
        <f>beregningsark!B169</f>
        <v>130.84885853894593</v>
      </c>
      <c r="I185" s="9">
        <f>beregningsark!U169*1000</f>
        <v>851.00118083573284</v>
      </c>
      <c r="J185" s="106">
        <f>beregningsark!T169</f>
        <v>3.9952941036591763</v>
      </c>
      <c r="K185" s="81">
        <f>beregningsark!H169</f>
        <v>4.3709475456052331</v>
      </c>
      <c r="L185" s="115" t="str">
        <f t="shared" si="40"/>
        <v xml:space="preserve"> </v>
      </c>
    </row>
    <row r="186" spans="1:12" x14ac:dyDescent="0.25">
      <c r="A186" s="80">
        <v>159</v>
      </c>
      <c r="C186" s="8">
        <f t="shared" si="35"/>
        <v>4</v>
      </c>
      <c r="D186" s="8">
        <f t="shared" si="34"/>
        <v>4</v>
      </c>
      <c r="E186" s="8">
        <f t="shared" si="39"/>
        <v>1.02</v>
      </c>
      <c r="F186" s="8">
        <f t="shared" si="37"/>
        <v>1.7</v>
      </c>
      <c r="G186" s="120">
        <f t="shared" si="44"/>
        <v>3.4</v>
      </c>
      <c r="H186" s="8">
        <f>beregningsark!B170</f>
        <v>131.69985971978167</v>
      </c>
      <c r="I186" s="9">
        <f>beregningsark!U170*1000</f>
        <v>850.80798280694103</v>
      </c>
      <c r="J186" s="106">
        <f>beregningsark!T170</f>
        <v>3.9962013388530964</v>
      </c>
      <c r="K186" s="81">
        <f>beregningsark!H170</f>
        <v>4.3750878303833121</v>
      </c>
      <c r="L186" s="115" t="str">
        <f t="shared" si="40"/>
        <v xml:space="preserve"> </v>
      </c>
    </row>
    <row r="187" spans="1:12" x14ac:dyDescent="0.25">
      <c r="A187" s="80">
        <v>160</v>
      </c>
      <c r="C187" s="8">
        <f t="shared" si="35"/>
        <v>4</v>
      </c>
      <c r="D187" s="8">
        <f t="shared" si="34"/>
        <v>4</v>
      </c>
      <c r="E187" s="8">
        <f t="shared" si="39"/>
        <v>1.02</v>
      </c>
      <c r="F187" s="8">
        <f t="shared" si="37"/>
        <v>1.7</v>
      </c>
      <c r="G187" s="120">
        <f t="shared" si="44"/>
        <v>3.4</v>
      </c>
      <c r="H187" s="8">
        <f>beregningsark!B171</f>
        <v>132.55066770258861</v>
      </c>
      <c r="I187" s="9">
        <f>beregningsark!U171*1000</f>
        <v>850.61541451406163</v>
      </c>
      <c r="J187" s="106">
        <f>beregningsark!T171</f>
        <v>3.9971060269844125</v>
      </c>
      <c r="K187" s="81">
        <f>beregningsark!H171</f>
        <v>4.3789134125072948</v>
      </c>
      <c r="L187" s="115" t="str">
        <f t="shared" si="40"/>
        <v xml:space="preserve"> </v>
      </c>
    </row>
    <row r="188" spans="1:12" x14ac:dyDescent="0.25">
      <c r="A188" s="80">
        <v>161</v>
      </c>
      <c r="B188" s="78">
        <v>23</v>
      </c>
      <c r="C188" s="15">
        <f t="shared" si="35"/>
        <v>4</v>
      </c>
      <c r="D188" s="15">
        <f t="shared" si="34"/>
        <v>4</v>
      </c>
      <c r="E188" s="15">
        <f t="shared" si="39"/>
        <v>1.02</v>
      </c>
      <c r="F188" s="15">
        <f t="shared" si="37"/>
        <v>1.7</v>
      </c>
      <c r="G188" s="98">
        <v>3.4</v>
      </c>
      <c r="H188" s="15">
        <f>beregningsark!B172</f>
        <v>133.40128311710268</v>
      </c>
      <c r="I188" s="108">
        <f>beregningsark!U172*1000</f>
        <v>850.4234702132087</v>
      </c>
      <c r="J188" s="109">
        <f>beregningsark!T172</f>
        <v>3.9980081913162504</v>
      </c>
      <c r="K188" s="81">
        <f>beregningsark!H172</f>
        <v>4.3824245081800939</v>
      </c>
      <c r="L188" s="115" t="str">
        <f t="shared" si="40"/>
        <v xml:space="preserve"> </v>
      </c>
    </row>
    <row r="189" spans="1:12" x14ac:dyDescent="0.25">
      <c r="A189" s="80">
        <v>162</v>
      </c>
      <c r="C189" s="8">
        <f t="shared" si="35"/>
        <v>4</v>
      </c>
      <c r="D189" s="8">
        <f t="shared" si="34"/>
        <v>4</v>
      </c>
      <c r="E189" s="8">
        <f t="shared" si="39"/>
        <v>1.02</v>
      </c>
      <c r="F189" s="8">
        <f t="shared" si="37"/>
        <v>1.7</v>
      </c>
      <c r="G189" s="120">
        <f>G188+(G$195-G$188)*0.143</f>
        <v>3.4</v>
      </c>
      <c r="H189" s="8">
        <f>beregningsark!B173</f>
        <v>134.25170658731588</v>
      </c>
      <c r="I189" s="9">
        <f>beregningsark!U173*1000</f>
        <v>850.23214424962362</v>
      </c>
      <c r="J189" s="106">
        <f>beregningsark!T173</f>
        <v>3.9989078547491124</v>
      </c>
      <c r="K189" s="81">
        <f>beregningsark!H173</f>
        <v>4.3856213326071529</v>
      </c>
      <c r="L189" s="115" t="str">
        <f t="shared" si="40"/>
        <v xml:space="preserve"> </v>
      </c>
    </row>
    <row r="190" spans="1:12" x14ac:dyDescent="0.25">
      <c r="A190" s="80">
        <v>163</v>
      </c>
      <c r="C190" s="8">
        <f t="shared" si="35"/>
        <v>4</v>
      </c>
      <c r="D190" s="8">
        <f t="shared" si="34"/>
        <v>4</v>
      </c>
      <c r="E190" s="8">
        <f t="shared" si="39"/>
        <v>1.02</v>
      </c>
      <c r="F190" s="8">
        <f t="shared" si="37"/>
        <v>1.7</v>
      </c>
      <c r="G190" s="120">
        <f t="shared" ref="G190:G194" si="45">G189+(G$195-G$188)*0.143</f>
        <v>3.4</v>
      </c>
      <c r="H190" s="8">
        <f>beregningsark!B174</f>
        <v>135.1019387315655</v>
      </c>
      <c r="I190" s="9">
        <f>beregningsark!U174*1000</f>
        <v>850.04143105572223</v>
      </c>
      <c r="J190" s="106">
        <f>beregningsark!T174</f>
        <v>3.9998050398288427</v>
      </c>
      <c r="K190" s="81">
        <f>beregningsark!H174</f>
        <v>4.3885041000078218</v>
      </c>
      <c r="L190" s="115" t="str">
        <f t="shared" si="40"/>
        <v xml:space="preserve"> </v>
      </c>
    </row>
    <row r="191" spans="1:12" x14ac:dyDescent="0.25">
      <c r="A191" s="80">
        <v>164</v>
      </c>
      <c r="C191" s="8">
        <f t="shared" si="35"/>
        <v>4</v>
      </c>
      <c r="D191" s="8">
        <f t="shared" si="34"/>
        <v>4</v>
      </c>
      <c r="E191" s="8">
        <f t="shared" si="39"/>
        <v>1.02</v>
      </c>
      <c r="F191" s="8">
        <f t="shared" si="37"/>
        <v>1.7</v>
      </c>
      <c r="G191" s="120">
        <f t="shared" si="45"/>
        <v>3.4</v>
      </c>
      <c r="H191" s="8">
        <f>beregningsark!B175</f>
        <v>135.95198016262123</v>
      </c>
      <c r="I191" s="9">
        <f>beregningsark!U175*1000</f>
        <v>849.85132514920133</v>
      </c>
      <c r="J191" s="106">
        <f>beregningsark!T175</f>
        <v>4.0006997687543642</v>
      </c>
      <c r="K191" s="81">
        <f>beregningsark!H175</f>
        <v>4.3910730236265536</v>
      </c>
      <c r="L191" s="115" t="str">
        <f t="shared" si="40"/>
        <v xml:space="preserve"> </v>
      </c>
    </row>
    <row r="192" spans="1:12" x14ac:dyDescent="0.25">
      <c r="A192" s="80">
        <v>165</v>
      </c>
      <c r="C192" s="8">
        <f t="shared" si="35"/>
        <v>4</v>
      </c>
      <c r="D192" s="8">
        <f t="shared" si="34"/>
        <v>4</v>
      </c>
      <c r="E192" s="8">
        <f t="shared" si="39"/>
        <v>1.02</v>
      </c>
      <c r="F192" s="8">
        <f t="shared" si="37"/>
        <v>1.7</v>
      </c>
      <c r="G192" s="120">
        <f t="shared" si="45"/>
        <v>3.4</v>
      </c>
      <c r="H192" s="8">
        <f>beregningsark!B176</f>
        <v>136.80183148777041</v>
      </c>
      <c r="I192" s="9">
        <f>beregningsark!U176*1000</f>
        <v>849.6618211311926</v>
      </c>
      <c r="J192" s="106">
        <f>beregningsark!T176</f>
        <v>4.0015920633852051</v>
      </c>
      <c r="K192" s="81">
        <f>beregningsark!H176</f>
        <v>4.3933283157438732</v>
      </c>
      <c r="L192" s="115" t="str">
        <f t="shared" si="40"/>
        <v xml:space="preserve"> </v>
      </c>
    </row>
    <row r="193" spans="1:12" x14ac:dyDescent="0.25">
      <c r="A193" s="80">
        <v>166</v>
      </c>
      <c r="C193" s="8">
        <f t="shared" si="35"/>
        <v>4</v>
      </c>
      <c r="D193" s="8">
        <f t="shared" si="34"/>
        <v>4</v>
      </c>
      <c r="E193" s="8">
        <f t="shared" si="39"/>
        <v>1.02</v>
      </c>
      <c r="F193" s="8">
        <f t="shared" si="37"/>
        <v>1.7</v>
      </c>
      <c r="G193" s="120">
        <f t="shared" si="45"/>
        <v>3.4</v>
      </c>
      <c r="H193" s="8">
        <f>beregningsark!B177</f>
        <v>137.65149330890159</v>
      </c>
      <c r="I193" s="9">
        <f>beregningsark!U177*1000</f>
        <v>849.47291368447259</v>
      </c>
      <c r="J193" s="106">
        <f>beregningsark!T177</f>
        <v>4.0024819452488076</v>
      </c>
      <c r="K193" s="81">
        <f>beregningsark!H177</f>
        <v>4.3952701876871432</v>
      </c>
      <c r="L193" s="115" t="str">
        <f t="shared" si="40"/>
        <v xml:space="preserve"> </v>
      </c>
    </row>
    <row r="194" spans="1:12" x14ac:dyDescent="0.25">
      <c r="A194" s="80">
        <v>167</v>
      </c>
      <c r="C194" s="8">
        <f t="shared" si="35"/>
        <v>4</v>
      </c>
      <c r="D194" s="8">
        <f t="shared" si="34"/>
        <v>4</v>
      </c>
      <c r="E194" s="8">
        <f t="shared" si="39"/>
        <v>1.02</v>
      </c>
      <c r="F194" s="8">
        <f t="shared" si="37"/>
        <v>1.7</v>
      </c>
      <c r="G194" s="120">
        <f t="shared" si="45"/>
        <v>3.4</v>
      </c>
      <c r="H194" s="8">
        <f>beregningsark!B178</f>
        <v>138.50096622258607</v>
      </c>
      <c r="I194" s="9">
        <f>beregningsark!U178*1000</f>
        <v>849.28459757171981</v>
      </c>
      <c r="J194" s="106">
        <f>beregningsark!T178</f>
        <v>4.003369435547639</v>
      </c>
      <c r="K194" s="81">
        <f>beregningsark!H178</f>
        <v>4.3968988498411683</v>
      </c>
      <c r="L194" s="115" t="str">
        <f t="shared" si="40"/>
        <v xml:space="preserve"> </v>
      </c>
    </row>
    <row r="195" spans="1:12" x14ac:dyDescent="0.25">
      <c r="A195" s="80">
        <v>168</v>
      </c>
      <c r="B195" s="78">
        <v>24</v>
      </c>
      <c r="C195" s="15">
        <f t="shared" si="35"/>
        <v>4</v>
      </c>
      <c r="D195" s="15">
        <f t="shared" si="34"/>
        <v>4</v>
      </c>
      <c r="E195" s="15">
        <f t="shared" si="39"/>
        <v>1.02</v>
      </c>
      <c r="F195" s="15">
        <f t="shared" si="37"/>
        <v>1.7</v>
      </c>
      <c r="G195" s="98">
        <v>3.4</v>
      </c>
      <c r="H195" s="15">
        <f>beregningsark!B179</f>
        <v>139.35025082015778</v>
      </c>
      <c r="I195" s="108">
        <f>beregningsark!U179*1000</f>
        <v>849.09686763382103</v>
      </c>
      <c r="J195" s="109">
        <f>beregningsark!T179</f>
        <v>4.0042545551661055</v>
      </c>
      <c r="K195" s="81">
        <f>beregningsark!H179</f>
        <v>4.3982145116585567</v>
      </c>
      <c r="L195" s="115" t="str">
        <f t="shared" si="40"/>
        <v xml:space="preserve"> </v>
      </c>
    </row>
    <row r="196" spans="1:12" x14ac:dyDescent="0.25">
      <c r="A196" s="80">
        <v>169</v>
      </c>
      <c r="C196" s="8">
        <f t="shared" si="35"/>
        <v>4</v>
      </c>
      <c r="D196" s="8">
        <f t="shared" si="34"/>
        <v>4</v>
      </c>
      <c r="E196" s="8">
        <f t="shared" si="39"/>
        <v>1.02</v>
      </c>
      <c r="F196" s="8">
        <f t="shared" si="37"/>
        <v>1.7</v>
      </c>
      <c r="G196" s="120">
        <f>G195+(G$202-G$195)*0.143</f>
        <v>3.4</v>
      </c>
      <c r="H196" s="8">
        <f>beregningsark!B180</f>
        <v>140.1993476877916</v>
      </c>
      <c r="I196" s="9">
        <f>beregningsark!U180*1000</f>
        <v>848.90971878822199</v>
      </c>
      <c r="J196" s="106">
        <f>beregningsark!T180</f>
        <v>4.0051373246772783</v>
      </c>
      <c r="K196" s="81">
        <f>beregningsark!H180</f>
        <v>4.3992173816699376</v>
      </c>
      <c r="L196" s="115" t="str">
        <f t="shared" si="40"/>
        <v xml:space="preserve"> </v>
      </c>
    </row>
    <row r="197" spans="1:12" x14ac:dyDescent="0.25">
      <c r="A197" s="80">
        <v>170</v>
      </c>
      <c r="C197" s="8">
        <f t="shared" si="35"/>
        <v>4</v>
      </c>
      <c r="D197" s="8">
        <f t="shared" si="34"/>
        <v>4</v>
      </c>
      <c r="E197" s="8">
        <f t="shared" si="39"/>
        <v>1.02</v>
      </c>
      <c r="F197" s="8">
        <f t="shared" si="37"/>
        <v>1.7</v>
      </c>
      <c r="G197" s="120">
        <f t="shared" ref="G197:G201" si="46">G196+(G$202-G$195)*0.143</f>
        <v>3.4</v>
      </c>
      <c r="H197" s="8">
        <f>beregningsark!B181</f>
        <v>141.04825740657984</v>
      </c>
      <c r="I197" s="9">
        <f>beregningsark!U181*1000</f>
        <v>848.72314602732501</v>
      </c>
      <c r="J197" s="106">
        <f>beregningsark!T181</f>
        <v>4.0060177643494308</v>
      </c>
      <c r="K197" s="81">
        <f>beregningsark!H181</f>
        <v>4.3999076674939799</v>
      </c>
      <c r="L197" s="115" t="str">
        <f t="shared" si="40"/>
        <v xml:space="preserve"> </v>
      </c>
    </row>
    <row r="198" spans="1:12" x14ac:dyDescent="0.25">
      <c r="A198" s="80">
        <v>171</v>
      </c>
      <c r="C198" s="8">
        <f t="shared" si="35"/>
        <v>4</v>
      </c>
      <c r="D198" s="8">
        <f t="shared" si="34"/>
        <v>4</v>
      </c>
      <c r="E198" s="8">
        <f t="shared" si="39"/>
        <v>1.02</v>
      </c>
      <c r="F198" s="8">
        <f t="shared" si="37"/>
        <v>1.7</v>
      </c>
      <c r="G198" s="120">
        <f t="shared" si="46"/>
        <v>3.4</v>
      </c>
      <c r="H198" s="8">
        <f>beregningsark!B182</f>
        <v>141.89698055260715</v>
      </c>
      <c r="I198" s="9">
        <f>beregningsark!U182*1000</f>
        <v>848.5371444169283</v>
      </c>
      <c r="J198" s="106">
        <f>beregningsark!T182</f>
        <v>4.0068958941524091</v>
      </c>
      <c r="K198" s="81">
        <f>beregningsark!H182</f>
        <v>4.4002855758472323</v>
      </c>
      <c r="L198" s="115" t="str">
        <f t="shared" si="40"/>
        <v xml:space="preserve"> </v>
      </c>
    </row>
    <row r="199" spans="1:12" x14ac:dyDescent="0.25">
      <c r="A199" s="80">
        <v>172</v>
      </c>
      <c r="C199" s="8">
        <f t="shared" si="35"/>
        <v>4</v>
      </c>
      <c r="D199" s="8">
        <f t="shared" si="34"/>
        <v>4</v>
      </c>
      <c r="E199" s="8">
        <f t="shared" si="39"/>
        <v>1.02</v>
      </c>
      <c r="F199" s="8">
        <f t="shared" si="37"/>
        <v>1.7</v>
      </c>
      <c r="G199" s="120">
        <f t="shared" si="46"/>
        <v>3.4</v>
      </c>
      <c r="H199" s="8">
        <f>beregningsark!B183</f>
        <v>142.74551769702407</v>
      </c>
      <c r="I199" s="9">
        <f>beregningsark!U183*1000</f>
        <v>848.3517090947081</v>
      </c>
      <c r="J199" s="106">
        <f>beregningsark!T183</f>
        <v>4.0077717337638221</v>
      </c>
      <c r="K199" s="81">
        <f>beregningsark!H183</f>
        <v>4.4003513125538003</v>
      </c>
      <c r="L199" s="115" t="str">
        <f t="shared" si="40"/>
        <v xml:space="preserve"> </v>
      </c>
    </row>
    <row r="200" spans="1:12" x14ac:dyDescent="0.25">
      <c r="A200" s="80">
        <v>173</v>
      </c>
      <c r="C200" s="8">
        <f t="shared" si="35"/>
        <v>4</v>
      </c>
      <c r="D200" s="8">
        <f t="shared" si="34"/>
        <v>4</v>
      </c>
      <c r="E200" s="8">
        <f t="shared" si="39"/>
        <v>1.02</v>
      </c>
      <c r="F200" s="8">
        <f t="shared" si="37"/>
        <v>1.7</v>
      </c>
      <c r="G200" s="120">
        <f t="shared" si="46"/>
        <v>3.4</v>
      </c>
      <c r="H200" s="8">
        <f>beregningsark!B184</f>
        <v>143.59386940611878</v>
      </c>
      <c r="I200" s="9">
        <f>beregningsark!U184*1000</f>
        <v>848.16683526874021</v>
      </c>
      <c r="J200" s="106">
        <f>beregningsark!T184</f>
        <v>4.0086453025750712</v>
      </c>
      <c r="K200" s="81">
        <f>beregningsark!H184</f>
        <v>4.4001050825548358</v>
      </c>
      <c r="L200" s="115" t="str">
        <f t="shared" si="40"/>
        <v xml:space="preserve"> </v>
      </c>
    </row>
    <row r="201" spans="1:12" x14ac:dyDescent="0.25">
      <c r="A201" s="80">
        <v>174</v>
      </c>
      <c r="C201" s="8">
        <f t="shared" si="35"/>
        <v>4</v>
      </c>
      <c r="D201" s="8">
        <f t="shared" si="34"/>
        <v>4</v>
      </c>
      <c r="E201" s="8">
        <f t="shared" si="39"/>
        <v>1.02</v>
      </c>
      <c r="F201" s="8">
        <f t="shared" si="37"/>
        <v>1.7</v>
      </c>
      <c r="G201" s="120">
        <f t="shared" si="46"/>
        <v>3.4</v>
      </c>
      <c r="H201" s="8">
        <f>beregningsark!B185</f>
        <v>144.44203624138751</v>
      </c>
      <c r="I201" s="9">
        <f>beregningsark!U185*1000</f>
        <v>847.98251821606254</v>
      </c>
      <c r="J201" s="106">
        <f>beregningsark!T185</f>
        <v>4.0095166196972158</v>
      </c>
      <c r="K201" s="81">
        <f>beregningsark!H185</f>
        <v>4.3995470899178883</v>
      </c>
      <c r="L201" s="115" t="str">
        <f t="shared" si="40"/>
        <v xml:space="preserve"> </v>
      </c>
    </row>
    <row r="202" spans="1:12" x14ac:dyDescent="0.25">
      <c r="A202" s="80">
        <v>175</v>
      </c>
      <c r="B202" s="78">
        <v>25</v>
      </c>
      <c r="C202" s="15">
        <f t="shared" si="35"/>
        <v>4</v>
      </c>
      <c r="D202" s="15">
        <f t="shared" si="34"/>
        <v>4</v>
      </c>
      <c r="E202" s="15">
        <f t="shared" si="39"/>
        <v>1.02</v>
      </c>
      <c r="F202" s="15">
        <f t="shared" si="37"/>
        <v>1.7</v>
      </c>
      <c r="G202" s="98">
        <v>3.4</v>
      </c>
      <c r="H202" s="15">
        <f>beregningsark!B186</f>
        <v>145.29001875960358</v>
      </c>
      <c r="I202" s="108">
        <f>beregningsark!U186*1000</f>
        <v>847.79875328127264</v>
      </c>
      <c r="J202" s="109">
        <f>beregningsark!T186</f>
        <v>4.0103857039666915</v>
      </c>
      <c r="K202" s="81">
        <f>beregningsark!H186</f>
        <v>4.3986775378460754</v>
      </c>
      <c r="L202" s="115" t="str">
        <f t="shared" si="40"/>
        <v xml:space="preserve"> </v>
      </c>
    </row>
    <row r="203" spans="1:12" x14ac:dyDescent="0.25">
      <c r="A203" s="80">
        <v>176</v>
      </c>
      <c r="C203" s="8">
        <f t="shared" si="35"/>
        <v>4</v>
      </c>
      <c r="D203" s="8">
        <f t="shared" si="34"/>
        <v>4</v>
      </c>
      <c r="E203" s="8">
        <f t="shared" si="39"/>
        <v>1.02</v>
      </c>
      <c r="F203" s="8">
        <f t="shared" si="37"/>
        <v>1.7</v>
      </c>
      <c r="G203" s="120">
        <f>G202+(G$209-G$202)*0.143</f>
        <v>3.4</v>
      </c>
      <c r="H203" s="8">
        <f>beregningsark!B187</f>
        <v>146.13781751288485</v>
      </c>
      <c r="I203" s="9">
        <f>beregningsark!U187*1000</f>
        <v>847.6155358751646</v>
      </c>
      <c r="J203" s="106">
        <f>beregningsark!T187</f>
        <v>4.0112525739508698</v>
      </c>
      <c r="K203" s="81">
        <f>beregningsark!H187</f>
        <v>4.3974966286870973</v>
      </c>
      <c r="L203" s="115" t="str">
        <f t="shared" si="40"/>
        <v xml:space="preserve"> </v>
      </c>
    </row>
    <row r="204" spans="1:12" x14ac:dyDescent="0.25">
      <c r="A204" s="80">
        <v>177</v>
      </c>
      <c r="C204" s="8">
        <f t="shared" si="35"/>
        <v>4</v>
      </c>
      <c r="D204" s="8">
        <f t="shared" si="34"/>
        <v>4</v>
      </c>
      <c r="E204" s="8">
        <f t="shared" si="39"/>
        <v>1.02</v>
      </c>
      <c r="F204" s="8">
        <f t="shared" si="37"/>
        <v>1.7</v>
      </c>
      <c r="G204" s="120">
        <f t="shared" ref="G204:G208" si="47">G203+(G$209-G$202)*0.143</f>
        <v>3.4</v>
      </c>
      <c r="H204" s="8">
        <f>beregningsark!B188</f>
        <v>146.98543304876003</v>
      </c>
      <c r="I204" s="9">
        <f>beregningsark!U188*1000</f>
        <v>847.43286147340052</v>
      </c>
      <c r="J204" s="106">
        <f>beregningsark!T188</f>
        <v>4.0121172479534772</v>
      </c>
      <c r="K204" s="81">
        <f>beregningsark!H188</f>
        <v>4.3960045639421166</v>
      </c>
      <c r="L204" s="115" t="str">
        <f t="shared" si="40"/>
        <v xml:space="preserve"> </v>
      </c>
    </row>
    <row r="205" spans="1:12" x14ac:dyDescent="0.25">
      <c r="A205" s="80">
        <v>178</v>
      </c>
      <c r="C205" s="8">
        <f t="shared" si="35"/>
        <v>4</v>
      </c>
      <c r="D205" s="8">
        <f t="shared" si="34"/>
        <v>4</v>
      </c>
      <c r="E205" s="8">
        <f t="shared" si="39"/>
        <v>1.02</v>
      </c>
      <c r="F205" s="8">
        <f t="shared" si="37"/>
        <v>1.7</v>
      </c>
      <c r="G205" s="120">
        <f t="shared" si="47"/>
        <v>3.4</v>
      </c>
      <c r="H205" s="8">
        <f>beregningsark!B189</f>
        <v>147.83286591023344</v>
      </c>
      <c r="I205" s="9">
        <f>beregningsark!U189*1000</f>
        <v>847.25072561521517</v>
      </c>
      <c r="J205" s="106">
        <f>beregningsark!T189</f>
        <v>4.0129797440198756</v>
      </c>
      <c r="K205" s="81">
        <f>beregningsark!H189</f>
        <v>4.3942015442744573</v>
      </c>
      <c r="L205" s="115" t="str">
        <f t="shared" si="40"/>
        <v xml:space="preserve"> </v>
      </c>
    </row>
    <row r="206" spans="1:12" x14ac:dyDescent="0.25">
      <c r="A206" s="80">
        <v>179</v>
      </c>
      <c r="C206" s="8">
        <f t="shared" si="35"/>
        <v>4</v>
      </c>
      <c r="D206" s="8">
        <f t="shared" si="34"/>
        <v>4</v>
      </c>
      <c r="E206" s="8">
        <f t="shared" si="39"/>
        <v>1.02</v>
      </c>
      <c r="F206" s="8">
        <f t="shared" si="37"/>
        <v>1.7</v>
      </c>
      <c r="G206" s="120">
        <f t="shared" si="47"/>
        <v>3.4</v>
      </c>
      <c r="H206" s="8">
        <f>beregningsark!B190</f>
        <v>148.68011663584866</v>
      </c>
      <c r="I206" s="9">
        <f>beregningsark!U190*1000</f>
        <v>847.06912390215609</v>
      </c>
      <c r="J206" s="106">
        <f>beregningsark!T190</f>
        <v>4.0138400799422005</v>
      </c>
      <c r="K206" s="81">
        <f>beregningsark!H190</f>
        <v>4.3920877695181959</v>
      </c>
      <c r="L206" s="115" t="str">
        <f t="shared" si="40"/>
        <v xml:space="preserve"> </v>
      </c>
    </row>
    <row r="207" spans="1:12" x14ac:dyDescent="0.25">
      <c r="A207" s="80">
        <v>180</v>
      </c>
      <c r="C207" s="8">
        <f t="shared" si="35"/>
        <v>4</v>
      </c>
      <c r="D207" s="8">
        <f t="shared" ref="D207:D238" si="48">IF($A207&lt;$B$15+1,D$15,IF($A207&lt;$B$16+1,D$16,IF($A207&lt;$B$17+1,D$17,IF($A207&lt;$B$18+1,D$18,IF($A207&lt;$B$19+1,D$19,IF($A207&lt;$B$20+1,D$20,IF($A207&lt;$B$21+1,D$21,"?")))))))</f>
        <v>4</v>
      </c>
      <c r="E207" s="8">
        <f t="shared" si="39"/>
        <v>1.02</v>
      </c>
      <c r="F207" s="8">
        <f t="shared" si="37"/>
        <v>1.7</v>
      </c>
      <c r="G207" s="120">
        <f t="shared" si="47"/>
        <v>3.4</v>
      </c>
      <c r="H207" s="8">
        <f>beregningsark!B191</f>
        <v>149.52718575975081</v>
      </c>
      <c r="I207" s="9">
        <f>beregningsark!U191*1000</f>
        <v>846.88805199685385</v>
      </c>
      <c r="J207" s="106">
        <f>beregningsark!T191</f>
        <v>4.0146982732643757</v>
      </c>
      <c r="K207" s="81">
        <f>beregningsark!H191</f>
        <v>4.3896634386865685</v>
      </c>
      <c r="L207" s="115" t="str">
        <f t="shared" si="40"/>
        <v xml:space="preserve"> </v>
      </c>
    </row>
    <row r="208" spans="1:12" x14ac:dyDescent="0.25">
      <c r="A208" s="80">
        <v>181</v>
      </c>
      <c r="C208" s="8">
        <f t="shared" si="35"/>
        <v>4</v>
      </c>
      <c r="D208" s="8">
        <f t="shared" si="48"/>
        <v>4</v>
      </c>
      <c r="E208" s="8">
        <f t="shared" si="39"/>
        <v>1.02</v>
      </c>
      <c r="F208" s="8">
        <f t="shared" si="37"/>
        <v>1.7</v>
      </c>
      <c r="G208" s="120">
        <f t="shared" si="47"/>
        <v>3.4</v>
      </c>
      <c r="H208" s="8">
        <f>beregningsark!B192</f>
        <v>150.37407381174765</v>
      </c>
      <c r="I208" s="9">
        <f>beregningsark!U192*1000</f>
        <v>846.70750562182559</v>
      </c>
      <c r="J208" s="106">
        <f>beregningsark!T192</f>
        <v>4.0155543412869896</v>
      </c>
      <c r="K208" s="81">
        <f>beregningsark!H192</f>
        <v>4.3869287499802709</v>
      </c>
      <c r="L208" s="115" t="str">
        <f t="shared" si="40"/>
        <v xml:space="preserve"> </v>
      </c>
    </row>
    <row r="209" spans="1:12" x14ac:dyDescent="0.25">
      <c r="A209" s="80">
        <v>182</v>
      </c>
      <c r="B209" s="78">
        <v>26</v>
      </c>
      <c r="C209" s="15">
        <f t="shared" si="35"/>
        <v>4</v>
      </c>
      <c r="D209" s="15">
        <f t="shared" si="48"/>
        <v>4</v>
      </c>
      <c r="E209" s="15">
        <f t="shared" si="39"/>
        <v>1.02</v>
      </c>
      <c r="F209" s="15">
        <f t="shared" si="37"/>
        <v>1.7</v>
      </c>
      <c r="G209" s="98">
        <v>3.4</v>
      </c>
      <c r="H209" s="15">
        <f>beregningsark!B193</f>
        <v>151.22078131736947</v>
      </c>
      <c r="I209" s="108">
        <f>beregningsark!U193*1000</f>
        <v>846.52748055830625</v>
      </c>
      <c r="J209" s="109">
        <f>beregningsark!T193</f>
        <v>4.0164083010720617</v>
      </c>
      <c r="K209" s="81">
        <f>beregningsark!H193</f>
        <v>4.3838839007956087</v>
      </c>
      <c r="L209" s="115" t="str">
        <f t="shared" si="40"/>
        <v xml:space="preserve"> </v>
      </c>
    </row>
    <row r="210" spans="1:12" x14ac:dyDescent="0.25">
      <c r="A210" s="80">
        <v>183</v>
      </c>
      <c r="C210" s="8">
        <f t="shared" si="35"/>
        <v>4</v>
      </c>
      <c r="D210" s="8">
        <f t="shared" si="48"/>
        <v>4</v>
      </c>
      <c r="E210" s="8">
        <f t="shared" si="39"/>
        <v>1.02</v>
      </c>
      <c r="F210" s="8">
        <f t="shared" si="37"/>
        <v>1.7</v>
      </c>
      <c r="G210" s="120">
        <f>G209+(G$216-G$209)*0.143</f>
        <v>3.4</v>
      </c>
      <c r="H210" s="8">
        <f>beregningsark!B194</f>
        <v>152.06730879792778</v>
      </c>
      <c r="I210" s="9">
        <f>beregningsark!U194*1000</f>
        <v>844.01629798268527</v>
      </c>
      <c r="J210" s="106">
        <f>beregningsark!T194</f>
        <v>4.028358229724315</v>
      </c>
      <c r="K210" s="81">
        <f>beregningsark!H194</f>
        <v>4.3805290877325156</v>
      </c>
      <c r="L210" s="115" t="str">
        <f t="shared" si="40"/>
        <v xml:space="preserve"> </v>
      </c>
    </row>
    <row r="211" spans="1:12" x14ac:dyDescent="0.25">
      <c r="A211" s="80">
        <v>184</v>
      </c>
      <c r="C211" s="8">
        <f t="shared" si="35"/>
        <v>4</v>
      </c>
      <c r="D211" s="8">
        <f t="shared" si="48"/>
        <v>4</v>
      </c>
      <c r="E211" s="8">
        <f t="shared" si="39"/>
        <v>1.02</v>
      </c>
      <c r="F211" s="8">
        <f t="shared" si="37"/>
        <v>1.7</v>
      </c>
      <c r="G211" s="120">
        <f t="shared" ref="G211:G215" si="49">G210+(G$216-G$209)*0.143</f>
        <v>3.4</v>
      </c>
      <c r="H211" s="8">
        <f>beregningsark!B195</f>
        <v>152.91132509591046</v>
      </c>
      <c r="I211" s="9">
        <f>beregningsark!U195*1000</f>
        <v>842.20002058588</v>
      </c>
      <c r="J211" s="106">
        <f>beregningsark!T195</f>
        <v>4.0370457336664227</v>
      </c>
      <c r="K211" s="81">
        <f>beregningsark!H195</f>
        <v>4.3768750289222318</v>
      </c>
      <c r="L211" s="115" t="str">
        <f t="shared" si="40"/>
        <v xml:space="preserve"> </v>
      </c>
    </row>
    <row r="212" spans="1:12" x14ac:dyDescent="0.25">
      <c r="A212" s="80">
        <v>185</v>
      </c>
      <c r="C212" s="8">
        <f t="shared" ref="C212:C238" si="50">IF($A212&lt;$B$15+1,C$15,IF($A212&lt;$B$16+1,C$16,IF($A212&lt;$B$17+1,C$17,IF($A212&lt;$B$18+1,C$18,IF($A212&lt;$B$19+1,C$19,IF($A212&lt;$B$20+1,C$20,IF(A212&lt;$B$21+1,C$21,"?")))))))</f>
        <v>4</v>
      </c>
      <c r="D212" s="8">
        <f t="shared" si="48"/>
        <v>4</v>
      </c>
      <c r="E212" s="8">
        <f t="shared" si="39"/>
        <v>1.02</v>
      </c>
      <c r="F212" s="8">
        <f t="shared" si="37"/>
        <v>1.7</v>
      </c>
      <c r="G212" s="120">
        <f t="shared" si="49"/>
        <v>3.4</v>
      </c>
      <c r="H212" s="8">
        <f>beregningsark!B196</f>
        <v>153.75352511649635</v>
      </c>
      <c r="I212" s="9">
        <f>beregningsark!U196*1000</f>
        <v>840.39317740266313</v>
      </c>
      <c r="J212" s="106">
        <f>beregningsark!T196</f>
        <v>4.0457253716743766</v>
      </c>
      <c r="K212" s="81">
        <f>beregningsark!H196</f>
        <v>4.3729210909704319</v>
      </c>
      <c r="L212" s="115" t="str">
        <f t="shared" si="40"/>
        <v xml:space="preserve"> </v>
      </c>
    </row>
    <row r="213" spans="1:12" x14ac:dyDescent="0.25">
      <c r="A213" s="80">
        <v>186</v>
      </c>
      <c r="C213" s="8">
        <f t="shared" si="50"/>
        <v>4</v>
      </c>
      <c r="D213" s="8">
        <f t="shared" si="48"/>
        <v>4</v>
      </c>
      <c r="E213" s="8">
        <f t="shared" si="39"/>
        <v>1.02</v>
      </c>
      <c r="F213" s="8">
        <f t="shared" si="37"/>
        <v>1.7</v>
      </c>
      <c r="G213" s="120">
        <f t="shared" si="49"/>
        <v>3.4</v>
      </c>
      <c r="H213" s="8">
        <f>beregningsark!B197</f>
        <v>154.59391829389901</v>
      </c>
      <c r="I213" s="9">
        <f>beregningsark!U197*1000</f>
        <v>838.59568949319396</v>
      </c>
      <c r="J213" s="106">
        <f>beregningsark!T197</f>
        <v>4.0543971816201356</v>
      </c>
      <c r="K213" s="81">
        <f>beregningsark!H197</f>
        <v>4.3686692133031171</v>
      </c>
      <c r="L213" s="115" t="str">
        <f t="shared" si="40"/>
        <v xml:space="preserve"> </v>
      </c>
    </row>
    <row r="214" spans="1:12" x14ac:dyDescent="0.25">
      <c r="A214" s="80">
        <v>187</v>
      </c>
      <c r="C214" s="8">
        <f t="shared" si="50"/>
        <v>4</v>
      </c>
      <c r="D214" s="8">
        <f t="shared" si="48"/>
        <v>4</v>
      </c>
      <c r="E214" s="8">
        <f t="shared" si="39"/>
        <v>1.02</v>
      </c>
      <c r="F214" s="8">
        <f t="shared" si="37"/>
        <v>1.7</v>
      </c>
      <c r="G214" s="120">
        <f t="shared" si="49"/>
        <v>3.4</v>
      </c>
      <c r="H214" s="8">
        <f>beregningsark!B198</f>
        <v>155.4325139833922</v>
      </c>
      <c r="I214" s="9">
        <f>beregningsark!U198*1000</f>
        <v>836.80747879189835</v>
      </c>
      <c r="J214" s="106">
        <f>beregningsark!T198</f>
        <v>4.063061201255743</v>
      </c>
      <c r="K214" s="81">
        <f>beregningsark!H198</f>
        <v>4.3641213177844316</v>
      </c>
      <c r="L214" s="115" t="str">
        <f t="shared" si="40"/>
        <v xml:space="preserve"> </v>
      </c>
    </row>
    <row r="215" spans="1:12" x14ac:dyDescent="0.25">
      <c r="A215" s="80">
        <v>188</v>
      </c>
      <c r="C215" s="8">
        <f t="shared" si="50"/>
        <v>4</v>
      </c>
      <c r="D215" s="8">
        <f t="shared" si="48"/>
        <v>4</v>
      </c>
      <c r="E215" s="8">
        <f t="shared" si="39"/>
        <v>1.02</v>
      </c>
      <c r="F215" s="8">
        <f t="shared" si="37"/>
        <v>1.7</v>
      </c>
      <c r="G215" s="120">
        <f t="shared" si="49"/>
        <v>3.4</v>
      </c>
      <c r="H215" s="8">
        <f>beregningsark!B199</f>
        <v>156.26932146218411</v>
      </c>
      <c r="I215" s="9">
        <f>beregningsark!U199*1000</f>
        <v>835.02846809646655</v>
      </c>
      <c r="J215" s="106">
        <f>beregningsark!T199</f>
        <v>4.0717174682087789</v>
      </c>
      <c r="K215" s="81">
        <f>beregningsark!H199</f>
        <v>4.359279308928274</v>
      </c>
      <c r="L215" s="115" t="str">
        <f t="shared" si="40"/>
        <v xml:space="preserve"> </v>
      </c>
    </row>
    <row r="216" spans="1:12" x14ac:dyDescent="0.25">
      <c r="A216" s="80">
        <v>189</v>
      </c>
      <c r="B216" s="78">
        <v>27</v>
      </c>
      <c r="C216" s="15">
        <f t="shared" si="50"/>
        <v>4</v>
      </c>
      <c r="D216" s="15">
        <f t="shared" si="48"/>
        <v>4</v>
      </c>
      <c r="E216" s="15">
        <f t="shared" si="39"/>
        <v>1.02</v>
      </c>
      <c r="F216" s="15">
        <f t="shared" si="37"/>
        <v>1.7</v>
      </c>
      <c r="G216" s="98">
        <v>3.4</v>
      </c>
      <c r="H216" s="15">
        <f>beregningsark!B200</f>
        <v>157.10434993028056</v>
      </c>
      <c r="I216" s="108">
        <f>beregningsark!U200*1000</f>
        <v>833.25858105697068</v>
      </c>
      <c r="J216" s="109">
        <f>beregningsark!T200</f>
        <v>4.0803660199780634</v>
      </c>
      <c r="K216" s="81">
        <f>beregningsark!H200</f>
        <v>4.3541450741067855</v>
      </c>
      <c r="L216" s="115" t="str">
        <f t="shared" si="40"/>
        <v xml:space="preserve"> </v>
      </c>
    </row>
    <row r="217" spans="1:12" x14ac:dyDescent="0.25">
      <c r="A217" s="80">
        <v>190</v>
      </c>
      <c r="C217" s="8">
        <f t="shared" si="50"/>
        <v>4</v>
      </c>
      <c r="D217" s="8">
        <f t="shared" si="48"/>
        <v>4</v>
      </c>
      <c r="E217" s="8">
        <f t="shared" si="39"/>
        <v>1.02</v>
      </c>
      <c r="F217" s="8">
        <f t="shared" si="37"/>
        <v>1.7</v>
      </c>
      <c r="G217" s="120">
        <f>G216+(G$223-G$216)*0.143</f>
        <v>3.4</v>
      </c>
      <c r="H217" s="8">
        <f>beregningsark!B201</f>
        <v>157.93760851133754</v>
      </c>
      <c r="I217" s="9">
        <f>beregningsark!U201*1000</f>
        <v>831.49774216509752</v>
      </c>
      <c r="J217" s="106">
        <f>beregningsark!T201</f>
        <v>4.0890068939296231</v>
      </c>
      <c r="K217" s="81">
        <f>beregningsark!H201</f>
        <v>4.3487204837557636</v>
      </c>
      <c r="L217" s="115" t="str">
        <f t="shared" si="40"/>
        <v xml:space="preserve"> </v>
      </c>
    </row>
    <row r="218" spans="1:12" x14ac:dyDescent="0.25">
      <c r="A218" s="80">
        <v>191</v>
      </c>
      <c r="C218" s="8">
        <f t="shared" si="50"/>
        <v>4</v>
      </c>
      <c r="D218" s="8">
        <f t="shared" si="48"/>
        <v>4</v>
      </c>
      <c r="E218" s="8">
        <f t="shared" si="39"/>
        <v>1.02</v>
      </c>
      <c r="F218" s="8">
        <f t="shared" ref="F218:F233" si="51">IF($A218&lt;$B$15+1,F$15,IF($A218&lt;$B$16+1,F$16,IF($A218&lt;$B$17+1,F$17,IF($A218&lt;$B$18+1,F$18,IF($A218&lt;$B$19+1,F$19,IF($A218&lt;$B$20+1,F$20,F$21))))))</f>
        <v>1.7</v>
      </c>
      <c r="G218" s="120">
        <f t="shared" ref="G218:G222" si="52">G217+(G$223-G$216)*0.143</f>
        <v>3.4</v>
      </c>
      <c r="H218" s="8">
        <f>beregningsark!B202</f>
        <v>158.76910625350263</v>
      </c>
      <c r="I218" s="9">
        <f>beregningsark!U202*1000</f>
        <v>829.74587674350482</v>
      </c>
      <c r="J218" s="106">
        <f>beregningsark!T202</f>
        <v>4.0976401272928831</v>
      </c>
      <c r="K218" s="81">
        <f>beregningsark!H202</f>
        <v>4.3430073915770437</v>
      </c>
      <c r="L218" s="115" t="str">
        <f t="shared" si="40"/>
        <v xml:space="preserve"> </v>
      </c>
    </row>
    <row r="219" spans="1:12" x14ac:dyDescent="0.25">
      <c r="A219" s="80">
        <v>192</v>
      </c>
      <c r="C219" s="8">
        <f t="shared" si="50"/>
        <v>4</v>
      </c>
      <c r="D219" s="8">
        <f t="shared" si="48"/>
        <v>4</v>
      </c>
      <c r="E219" s="8">
        <f t="shared" si="39"/>
        <v>1.02</v>
      </c>
      <c r="F219" s="8">
        <f t="shared" si="51"/>
        <v>1.7</v>
      </c>
      <c r="G219" s="120">
        <f t="shared" si="52"/>
        <v>3.4</v>
      </c>
      <c r="H219" s="8">
        <f>beregningsark!B203</f>
        <v>159.59885213024614</v>
      </c>
      <c r="I219" s="9">
        <f>beregningsark!U203*1000</f>
        <v>828.00291093529438</v>
      </c>
      <c r="J219" s="106">
        <f>beregningsark!T203</f>
        <v>4.1062657571571002</v>
      </c>
      <c r="K219" s="81">
        <f>beregningsark!H203</f>
        <v>4.3370076347379234</v>
      </c>
      <c r="L219" s="115" t="str">
        <f t="shared" si="40"/>
        <v xml:space="preserve"> </v>
      </c>
    </row>
    <row r="220" spans="1:12" x14ac:dyDescent="0.25">
      <c r="A220" s="80">
        <v>193</v>
      </c>
      <c r="C220" s="8">
        <f t="shared" si="50"/>
        <v>4</v>
      </c>
      <c r="D220" s="8">
        <f t="shared" si="48"/>
        <v>4</v>
      </c>
      <c r="E220" s="8">
        <f t="shared" ref="E220:E238" si="53">IF($A220&lt;$B$15+1,E$15,IF($A220&lt;$B$16+1,E$16,IF($A220&lt;$B$17+1,E$17,IF($A220&lt;$B$18+1,E$18,IF($A220&lt;$B$19+1,E$19,IF($A220&lt;$B$20+1,E$20,IF($A220&lt;B$21+1,E$21,"?")))))))</f>
        <v>1.02</v>
      </c>
      <c r="F220" s="8">
        <f t="shared" si="51"/>
        <v>1.7</v>
      </c>
      <c r="G220" s="120">
        <f t="shared" si="52"/>
        <v>3.4</v>
      </c>
      <c r="H220" s="8">
        <f>beregningsark!B204</f>
        <v>160.42685504118143</v>
      </c>
      <c r="I220" s="9">
        <f>beregningsark!U204*1000</f>
        <v>826.26877169360887</v>
      </c>
      <c r="J220" s="106">
        <f>beregningsark!T204</f>
        <v>4.1148838204680009</v>
      </c>
      <c r="K220" s="81">
        <f>beregningsark!H204</f>
        <v>4.3307230340676472</v>
      </c>
      <c r="L220" s="115" t="str">
        <f t="shared" ref="L220:L238" si="54">IF(G220&gt;J$23,"hvis kolonne G er større end slutfoderstyrke, bruges slutfoderstyrke!"," ")</f>
        <v xml:space="preserve"> </v>
      </c>
    </row>
    <row r="221" spans="1:12" x14ac:dyDescent="0.25">
      <c r="A221" s="80">
        <v>194</v>
      </c>
      <c r="C221" s="8">
        <f t="shared" si="50"/>
        <v>4</v>
      </c>
      <c r="D221" s="8">
        <f t="shared" si="48"/>
        <v>4</v>
      </c>
      <c r="E221" s="8">
        <f t="shared" si="53"/>
        <v>1.02</v>
      </c>
      <c r="F221" s="8">
        <f t="shared" si="51"/>
        <v>1.7</v>
      </c>
      <c r="G221" s="120">
        <f t="shared" si="52"/>
        <v>3.4</v>
      </c>
      <c r="H221" s="8">
        <f>beregningsark!B205</f>
        <v>161.25312381287503</v>
      </c>
      <c r="I221" s="9">
        <f>beregningsark!U205*1000</f>
        <v>824.54338677134524</v>
      </c>
      <c r="J221" s="106">
        <f>beregningsark!T205</f>
        <v>4.1234943540246434</v>
      </c>
      <c r="K221" s="81">
        <f>beregningsark!H205</f>
        <v>4.3241553942510205</v>
      </c>
      <c r="L221" s="115" t="str">
        <f t="shared" si="54"/>
        <v xml:space="preserve"> </v>
      </c>
    </row>
    <row r="222" spans="1:12" x14ac:dyDescent="0.25">
      <c r="A222" s="80">
        <v>195</v>
      </c>
      <c r="C222" s="8">
        <f t="shared" si="50"/>
        <v>4</v>
      </c>
      <c r="D222" s="8">
        <f t="shared" si="48"/>
        <v>4</v>
      </c>
      <c r="E222" s="8">
        <f t="shared" si="53"/>
        <v>1.02</v>
      </c>
      <c r="F222" s="8">
        <f t="shared" si="51"/>
        <v>1.7</v>
      </c>
      <c r="G222" s="120">
        <f t="shared" si="52"/>
        <v>3.4</v>
      </c>
      <c r="H222" s="8">
        <f>beregningsark!B206</f>
        <v>162.07766719964638</v>
      </c>
      <c r="I222" s="9">
        <f>beregningsark!U206*1000</f>
        <v>822.82668471099214</v>
      </c>
      <c r="J222" s="106">
        <f>beregningsark!T206</f>
        <v>4.1320973944764665</v>
      </c>
      <c r="K222" s="81">
        <f>beregningsark!H206</f>
        <v>4.3173065040192116</v>
      </c>
      <c r="L222" s="115" t="str">
        <f t="shared" si="54"/>
        <v xml:space="preserve"> </v>
      </c>
    </row>
    <row r="223" spans="1:12" x14ac:dyDescent="0.25">
      <c r="A223" s="80">
        <v>196</v>
      </c>
      <c r="B223" s="78">
        <v>28</v>
      </c>
      <c r="C223" s="15">
        <f t="shared" si="50"/>
        <v>4</v>
      </c>
      <c r="D223" s="15">
        <f t="shared" si="48"/>
        <v>4</v>
      </c>
      <c r="E223" s="15">
        <f t="shared" si="53"/>
        <v>1.02</v>
      </c>
      <c r="F223" s="15">
        <f t="shared" si="51"/>
        <v>1.7</v>
      </c>
      <c r="G223" s="98">
        <v>3.4</v>
      </c>
      <c r="H223" s="15">
        <f>beregningsark!B207</f>
        <v>162.90049388435739</v>
      </c>
      <c r="I223" s="108">
        <f>beregningsark!U207*1000</f>
        <v>821.11859483458943</v>
      </c>
      <c r="J223" s="109">
        <f>beregningsark!T207</f>
        <v>4.1406929783205246</v>
      </c>
      <c r="K223" s="81">
        <f>beregningsark!H207</f>
        <v>4.3101781363377407</v>
      </c>
      <c r="L223" s="115" t="str">
        <f t="shared" si="54"/>
        <v xml:space="preserve"> </v>
      </c>
    </row>
    <row r="224" spans="1:12" x14ac:dyDescent="0.25">
      <c r="A224" s="80">
        <v>197</v>
      </c>
      <c r="C224" s="8">
        <f t="shared" si="50"/>
        <v>4</v>
      </c>
      <c r="D224" s="8">
        <f t="shared" si="48"/>
        <v>4</v>
      </c>
      <c r="E224" s="8">
        <f t="shared" si="53"/>
        <v>1.02</v>
      </c>
      <c r="F224" s="8">
        <f t="shared" si="51"/>
        <v>1.7</v>
      </c>
      <c r="G224" s="120">
        <f>G223+(G$230-G$223)*0.143</f>
        <v>3.4</v>
      </c>
      <c r="H224" s="8">
        <f>beregningsark!B208</f>
        <v>163.72161247919198</v>
      </c>
      <c r="I224" s="9">
        <f>beregningsark!U208*1000</f>
        <v>819.41904723380219</v>
      </c>
      <c r="J224" s="106">
        <f>beregningsark!T208</f>
        <v>4.1492811418989248</v>
      </c>
      <c r="K224" s="81">
        <f>beregningsark!H208</f>
        <v>4.3027720485917769</v>
      </c>
      <c r="L224" s="115" t="str">
        <f t="shared" si="54"/>
        <v xml:space="preserve"> </v>
      </c>
    </row>
    <row r="225" spans="1:12" x14ac:dyDescent="0.25">
      <c r="A225" s="80">
        <v>198</v>
      </c>
      <c r="C225" s="8">
        <f t="shared" si="50"/>
        <v>4</v>
      </c>
      <c r="D225" s="8">
        <f t="shared" si="48"/>
        <v>4</v>
      </c>
      <c r="E225" s="8">
        <f t="shared" si="53"/>
        <v>1.02</v>
      </c>
      <c r="F225" s="8">
        <f t="shared" si="51"/>
        <v>1.7</v>
      </c>
      <c r="G225" s="120">
        <f t="shared" ref="G225:G229" si="55">G224+(G$230-G$223)*0.143</f>
        <v>3.4</v>
      </c>
      <c r="H225" s="8">
        <f>beregningsark!B209</f>
        <v>164.54103152642577</v>
      </c>
      <c r="I225" s="9">
        <f>beregningsark!U209*1000</f>
        <v>817.72797276012386</v>
      </c>
      <c r="J225" s="106">
        <f>beregningsark!T209</f>
        <v>4.1578619213964103</v>
      </c>
      <c r="K225" s="81">
        <f>beregningsark!H209</f>
        <v>4.2950899827687161</v>
      </c>
      <c r="L225" s="115" t="str">
        <f t="shared" si="54"/>
        <v xml:space="preserve"> </v>
      </c>
    </row>
    <row r="226" spans="1:12" x14ac:dyDescent="0.25">
      <c r="A226" s="80">
        <v>199</v>
      </c>
      <c r="C226" s="8">
        <f t="shared" si="50"/>
        <v>4</v>
      </c>
      <c r="D226" s="8">
        <f t="shared" si="48"/>
        <v>4</v>
      </c>
      <c r="E226" s="8">
        <f t="shared" si="53"/>
        <v>1.02</v>
      </c>
      <c r="F226" s="8">
        <f t="shared" si="51"/>
        <v>1.7</v>
      </c>
      <c r="G226" s="120">
        <f t="shared" si="55"/>
        <v>3.4</v>
      </c>
      <c r="H226" s="8">
        <f>beregningsark!B210</f>
        <v>165.35875949918588</v>
      </c>
      <c r="I226" s="9">
        <f>beregningsark!U210*1000</f>
        <v>816.04530301519151</v>
      </c>
      <c r="J226" s="106">
        <f>beregningsark!T210</f>
        <v>4.1664353528381319</v>
      </c>
      <c r="K226" s="81">
        <f>beregningsark!H210</f>
        <v>4.2871336656381205</v>
      </c>
      <c r="L226" s="115" t="str">
        <f t="shared" si="54"/>
        <v xml:space="preserve"> </v>
      </c>
    </row>
    <row r="227" spans="1:12" x14ac:dyDescent="0.25">
      <c r="A227" s="80">
        <v>200</v>
      </c>
      <c r="C227" s="8">
        <f t="shared" si="50"/>
        <v>4</v>
      </c>
      <c r="D227" s="8">
        <f t="shared" si="48"/>
        <v>4</v>
      </c>
      <c r="E227" s="8">
        <f t="shared" si="53"/>
        <v>1.02</v>
      </c>
      <c r="F227" s="8">
        <f t="shared" si="51"/>
        <v>1.7</v>
      </c>
      <c r="G227" s="120">
        <f t="shared" si="55"/>
        <v>3.4</v>
      </c>
      <c r="H227" s="8">
        <f>beregningsark!B211</f>
        <v>166.17480480220107</v>
      </c>
      <c r="I227" s="9">
        <f>beregningsark!U211*1000</f>
        <v>814.37097034122746</v>
      </c>
      <c r="J227" s="106">
        <f>beregningsark!T211</f>
        <v>4.175001472087561</v>
      </c>
      <c r="K227" s="81">
        <f>beregningsark!H211</f>
        <v>4.2789048089290818</v>
      </c>
      <c r="L227" s="115" t="str">
        <f t="shared" si="54"/>
        <v xml:space="preserve"> </v>
      </c>
    </row>
    <row r="228" spans="1:12" x14ac:dyDescent="0.25">
      <c r="A228" s="80">
        <v>201</v>
      </c>
      <c r="C228" s="8">
        <f t="shared" si="50"/>
        <v>4</v>
      </c>
      <c r="D228" s="8">
        <f t="shared" si="48"/>
        <v>4</v>
      </c>
      <c r="E228" s="8">
        <f t="shared" si="53"/>
        <v>1.02</v>
      </c>
      <c r="F228" s="8">
        <f t="shared" si="51"/>
        <v>1.7</v>
      </c>
      <c r="G228" s="120">
        <f t="shared" si="55"/>
        <v>3.4</v>
      </c>
      <c r="H228" s="8">
        <f>beregningsark!B212</f>
        <v>166.9891757725423</v>
      </c>
      <c r="I228" s="9">
        <f>beregningsark!U212*1000</f>
        <v>812.70490781159549</v>
      </c>
      <c r="J228" s="106">
        <f>beregningsark!T212</f>
        <v>4.1835603148445628</v>
      </c>
      <c r="K228" s="81">
        <f>beregningsark!H212</f>
        <v>4.2704051095049973</v>
      </c>
      <c r="L228" s="115" t="str">
        <f t="shared" si="54"/>
        <v xml:space="preserve"> </v>
      </c>
    </row>
    <row r="229" spans="1:12" x14ac:dyDescent="0.25">
      <c r="A229" s="80">
        <v>202</v>
      </c>
      <c r="C229" s="8">
        <f t="shared" si="50"/>
        <v>4</v>
      </c>
      <c r="D229" s="8">
        <f t="shared" si="48"/>
        <v>4</v>
      </c>
      <c r="E229" s="8">
        <f t="shared" si="53"/>
        <v>1.02</v>
      </c>
      <c r="F229" s="8">
        <f t="shared" si="51"/>
        <v>1.7</v>
      </c>
      <c r="G229" s="120">
        <f t="shared" si="55"/>
        <v>3.4</v>
      </c>
      <c r="H229" s="8">
        <f>beregningsark!B213</f>
        <v>167.80188068035389</v>
      </c>
      <c r="I229" s="9">
        <f>beregningsark!U213*1000</f>
        <v>811.04704922147937</v>
      </c>
      <c r="J229" s="106">
        <f>beregningsark!T213</f>
        <v>4.1921119166436096</v>
      </c>
      <c r="K229" s="81">
        <f>beregningsark!H213</f>
        <v>4.2616362495358482</v>
      </c>
      <c r="L229" s="115" t="str">
        <f t="shared" si="54"/>
        <v xml:space="preserve"> </v>
      </c>
    </row>
    <row r="230" spans="1:12" x14ac:dyDescent="0.25">
      <c r="A230" s="80">
        <v>203</v>
      </c>
      <c r="B230" s="78">
        <v>29</v>
      </c>
      <c r="C230" s="15">
        <f t="shared" si="50"/>
        <v>4</v>
      </c>
      <c r="D230" s="15">
        <f t="shared" si="48"/>
        <v>4</v>
      </c>
      <c r="E230" s="15">
        <f t="shared" si="53"/>
        <v>1.02</v>
      </c>
      <c r="F230" s="15">
        <f t="shared" si="51"/>
        <v>1.7</v>
      </c>
      <c r="G230" s="98">
        <v>3.4</v>
      </c>
      <c r="H230" s="15">
        <f>beregningsark!B214</f>
        <v>168.61292772957538</v>
      </c>
      <c r="I230" s="108">
        <f>beregningsark!U214*1000</f>
        <v>809.39732907867767</v>
      </c>
      <c r="J230" s="109">
        <f>beregningsark!T214</f>
        <v>4.2006563128521295</v>
      </c>
      <c r="K230" s="81">
        <f>beregningsark!H214</f>
        <v>4.2525998966680083</v>
      </c>
      <c r="L230" s="115" t="str">
        <f t="shared" si="54"/>
        <v xml:space="preserve"> </v>
      </c>
    </row>
    <row r="231" spans="1:12" x14ac:dyDescent="0.25">
      <c r="A231" s="80">
        <v>204</v>
      </c>
      <c r="C231" s="8">
        <f t="shared" si="50"/>
        <v>4</v>
      </c>
      <c r="D231" s="8">
        <f t="shared" si="48"/>
        <v>4</v>
      </c>
      <c r="E231" s="8">
        <f t="shared" si="53"/>
        <v>1.02</v>
      </c>
      <c r="F231" s="8">
        <f t="shared" si="51"/>
        <v>1.7</v>
      </c>
      <c r="G231" s="120">
        <f>G230+(G$237-G$230)*0.143</f>
        <v>3.4</v>
      </c>
      <c r="H231" s="8">
        <f>beregningsark!B215</f>
        <v>169.42232505865405</v>
      </c>
      <c r="I231" s="9">
        <f>beregningsark!U215*1000</f>
        <v>807.7556825945162</v>
      </c>
      <c r="J231" s="106">
        <f>beregningsark!T215</f>
        <v>4.2091935386689929</v>
      </c>
      <c r="K231" s="81">
        <f>beregningsark!H215</f>
        <v>4.2432977041916171</v>
      </c>
      <c r="L231" s="115" t="str">
        <f t="shared" si="54"/>
        <v xml:space="preserve"> </v>
      </c>
    </row>
    <row r="232" spans="1:12" x14ac:dyDescent="0.25">
      <c r="A232" s="80">
        <v>205</v>
      </c>
      <c r="C232" s="8">
        <f t="shared" si="50"/>
        <v>4</v>
      </c>
      <c r="D232" s="8">
        <f t="shared" si="48"/>
        <v>4</v>
      </c>
      <c r="E232" s="8">
        <f t="shared" si="53"/>
        <v>1.02</v>
      </c>
      <c r="F232" s="8">
        <f t="shared" si="51"/>
        <v>1.7</v>
      </c>
      <c r="G232" s="120">
        <f t="shared" ref="G232:G236" si="56">G231+(G$237-G$230)*0.143</f>
        <v>3.4</v>
      </c>
      <c r="H232" s="8">
        <f>beregningsark!B216</f>
        <v>170.23008074124857</v>
      </c>
      <c r="I232" s="9">
        <f>beregningsark!U216*1000</f>
        <v>806.12204567487868</v>
      </c>
      <c r="J232" s="106">
        <f>beregningsark!T216</f>
        <v>4.2177236291231166</v>
      </c>
      <c r="K232" s="81">
        <f>beregningsark!H216</f>
        <v>4.2337313112055686</v>
      </c>
      <c r="L232" s="115" t="str">
        <f t="shared" si="54"/>
        <v xml:space="preserve"> </v>
      </c>
    </row>
    <row r="233" spans="1:12" x14ac:dyDescent="0.25">
      <c r="A233" s="80">
        <v>206</v>
      </c>
      <c r="C233" s="8">
        <f t="shared" si="50"/>
        <v>4</v>
      </c>
      <c r="D233" s="8">
        <f t="shared" si="48"/>
        <v>4</v>
      </c>
      <c r="E233" s="8">
        <f t="shared" si="53"/>
        <v>1.02</v>
      </c>
      <c r="F233" s="8">
        <f t="shared" si="51"/>
        <v>1.7</v>
      </c>
      <c r="G233" s="120">
        <f t="shared" si="56"/>
        <v>3.4</v>
      </c>
      <c r="H233" s="8">
        <f>beregningsark!B217</f>
        <v>171.03620278692344</v>
      </c>
      <c r="I233" s="9">
        <f>beregningsark!U217*1000</f>
        <v>804.49635491135143</v>
      </c>
      <c r="J233" s="106">
        <f>beregningsark!T217</f>
        <v>4.2262466190721906</v>
      </c>
      <c r="K233" s="81">
        <f>beregningsark!H217</f>
        <v>4.2239023427801277</v>
      </c>
      <c r="L233" s="115" t="str">
        <f t="shared" si="54"/>
        <v xml:space="preserve"> </v>
      </c>
    </row>
    <row r="234" spans="1:12" x14ac:dyDescent="0.25">
      <c r="A234" s="80">
        <v>207</v>
      </c>
      <c r="C234" s="8">
        <f t="shared" si="50"/>
        <v>4</v>
      </c>
      <c r="D234" s="8">
        <f t="shared" si="48"/>
        <v>4</v>
      </c>
      <c r="E234" s="8">
        <f t="shared" si="53"/>
        <v>1.02</v>
      </c>
      <c r="F234" s="8">
        <f t="shared" ref="F234:F238" si="57">IF($A234&lt;$B$15+1,F$15,IF($A234&lt;$B$16+1,F$16,IF($A234&lt;$B$17+1,F$17,IF($A234&lt;$B$18+1,F$18,IF($A234&lt;$B$19+1,F$19,IF($A234&lt;$B$20+1,F$20,F$21))))))</f>
        <v>1.7</v>
      </c>
      <c r="G234" s="120">
        <f t="shared" si="56"/>
        <v>3.4</v>
      </c>
      <c r="H234" s="8">
        <f>beregningsark!B218</f>
        <v>171.84069914183479</v>
      </c>
      <c r="I234" s="9">
        <f>beregningsark!U218*1000</f>
        <v>802.8785475724851</v>
      </c>
      <c r="J234" s="106">
        <f>beregningsark!T218</f>
        <v>4.2347625432015201</v>
      </c>
      <c r="K234" s="81">
        <f>beregningsark!H218</f>
        <v>4.2138124101172689</v>
      </c>
      <c r="L234" s="115" t="str">
        <f t="shared" si="54"/>
        <v xml:space="preserve"> </v>
      </c>
    </row>
    <row r="235" spans="1:12" x14ac:dyDescent="0.25">
      <c r="A235" s="80">
        <v>208</v>
      </c>
      <c r="C235" s="8">
        <f t="shared" si="50"/>
        <v>4</v>
      </c>
      <c r="D235" s="8">
        <f t="shared" si="48"/>
        <v>4</v>
      </c>
      <c r="E235" s="8">
        <f t="shared" si="53"/>
        <v>1.02</v>
      </c>
      <c r="F235" s="8">
        <f t="shared" si="57"/>
        <v>1.7</v>
      </c>
      <c r="G235" s="120">
        <f t="shared" si="56"/>
        <v>3.4</v>
      </c>
      <c r="H235" s="8">
        <f>beregningsark!B219</f>
        <v>172.64357768940727</v>
      </c>
      <c r="I235" s="9">
        <f>beregningsark!U219*1000</f>
        <v>801.26856159517047</v>
      </c>
      <c r="J235" s="106">
        <f>beregningsark!T219</f>
        <v>4.2432714360229715</v>
      </c>
      <c r="K235" s="81">
        <f>beregningsark!H219</f>
        <v>4.2034631107087153</v>
      </c>
      <c r="L235" s="115" t="str">
        <f t="shared" si="54"/>
        <v xml:space="preserve"> </v>
      </c>
    </row>
    <row r="236" spans="1:12" x14ac:dyDescent="0.25">
      <c r="A236" s="80">
        <v>209</v>
      </c>
      <c r="C236" s="8">
        <f t="shared" si="50"/>
        <v>4</v>
      </c>
      <c r="D236" s="8">
        <f t="shared" si="48"/>
        <v>4</v>
      </c>
      <c r="E236" s="8">
        <f t="shared" si="53"/>
        <v>1.02</v>
      </c>
      <c r="F236" s="8">
        <f t="shared" si="57"/>
        <v>1.7</v>
      </c>
      <c r="G236" s="120">
        <f t="shared" si="56"/>
        <v>3.4</v>
      </c>
      <c r="H236" s="8">
        <f>beregningsark!B220</f>
        <v>173.44484625100245</v>
      </c>
      <c r="I236" s="9">
        <f>beregningsark!U220*1000</f>
        <v>799.66633557612522</v>
      </c>
      <c r="J236" s="106">
        <f>beregningsark!T220</f>
        <v>4.2517733318740323</v>
      </c>
      <c r="K236" s="81">
        <f>beregningsark!H220</f>
        <v>4.1928560284917449</v>
      </c>
      <c r="L236" s="115" t="str">
        <f t="shared" si="54"/>
        <v xml:space="preserve"> </v>
      </c>
    </row>
    <row r="237" spans="1:12" x14ac:dyDescent="0.25">
      <c r="A237" s="80">
        <v>210</v>
      </c>
      <c r="B237" s="78">
        <v>30</v>
      </c>
      <c r="C237" s="15">
        <f t="shared" si="50"/>
        <v>4</v>
      </c>
      <c r="D237" s="15">
        <f t="shared" si="48"/>
        <v>4</v>
      </c>
      <c r="E237" s="15">
        <f t="shared" si="53"/>
        <v>1.02</v>
      </c>
      <c r="F237" s="15">
        <f t="shared" si="57"/>
        <v>1.7</v>
      </c>
      <c r="G237" s="98">
        <v>3.4</v>
      </c>
      <c r="H237" s="15">
        <f>beregningsark!B221</f>
        <v>174.24451258657857</v>
      </c>
      <c r="I237" s="108">
        <f>beregningsark!U221*1000</f>
        <v>798.07180876349753</v>
      </c>
      <c r="J237" s="109">
        <f>beregningsark!T221</f>
        <v>4.2602682649169532</v>
      </c>
      <c r="K237" s="81">
        <f>beregningsark!H221</f>
        <v>4.1819927340028089</v>
      </c>
      <c r="L237" s="115" t="str">
        <f t="shared" si="54"/>
        <v xml:space="preserve"> </v>
      </c>
    </row>
    <row r="238" spans="1:12" x14ac:dyDescent="0.25">
      <c r="A238" s="80">
        <v>211</v>
      </c>
      <c r="C238" s="8">
        <f t="shared" si="50"/>
        <v>0</v>
      </c>
      <c r="D238" s="8">
        <f t="shared" si="48"/>
        <v>0</v>
      </c>
      <c r="E238" s="8">
        <f t="shared" si="53"/>
        <v>0</v>
      </c>
      <c r="F238" s="8">
        <f t="shared" si="57"/>
        <v>0</v>
      </c>
      <c r="G238" s="120">
        <f>G237</f>
        <v>3.4</v>
      </c>
      <c r="H238" s="8">
        <f>beregningsark!B222</f>
        <v>175.04258439534206</v>
      </c>
      <c r="I238" s="9" t="e">
        <f>beregningsark!U222*1000</f>
        <v>#DIV/0!</v>
      </c>
      <c r="J238" s="106" t="e">
        <f>beregningsark!T222</f>
        <v>#DIV/0!</v>
      </c>
      <c r="K238" s="81">
        <f>beregningsark!H222</f>
        <v>-0.55047078374494085</v>
      </c>
      <c r="L238" s="115" t="str">
        <f t="shared" si="54"/>
        <v xml:space="preserve"> </v>
      </c>
    </row>
    <row r="239" spans="1:12" x14ac:dyDescent="0.25">
      <c r="A239" s="70" t="s">
        <v>132</v>
      </c>
      <c r="B239" s="70"/>
      <c r="C239" s="70"/>
      <c r="D239" s="70"/>
      <c r="E239" s="70"/>
      <c r="F239" s="70"/>
      <c r="G239" s="70"/>
      <c r="H239" s="70"/>
      <c r="I239" s="70"/>
      <c r="J239" s="70"/>
      <c r="K239" s="81"/>
    </row>
    <row r="240" spans="1:12" x14ac:dyDescent="0.25">
      <c r="A240" s="90"/>
      <c r="B240" s="90"/>
      <c r="C240" s="91"/>
      <c r="D240" s="91"/>
      <c r="E240" s="91" t="s">
        <v>148</v>
      </c>
      <c r="F240" s="90"/>
      <c r="G240" s="78"/>
      <c r="H240" s="78"/>
      <c r="I240" s="88" t="s">
        <v>149</v>
      </c>
      <c r="J240" s="78"/>
      <c r="K240" s="81"/>
    </row>
    <row r="241" spans="1:11" x14ac:dyDescent="0.25">
      <c r="A241" s="92"/>
      <c r="B241" s="92"/>
      <c r="C241" s="95"/>
      <c r="D241" s="95" t="s">
        <v>147</v>
      </c>
      <c r="E241" s="93">
        <v>2023</v>
      </c>
      <c r="F241" s="92">
        <v>2023</v>
      </c>
      <c r="G241" s="78"/>
      <c r="H241" s="82" t="s">
        <v>147</v>
      </c>
      <c r="I241" s="82">
        <v>2023</v>
      </c>
      <c r="J241" s="82">
        <v>2023</v>
      </c>
      <c r="K241" s="81"/>
    </row>
    <row r="242" spans="1:11" x14ac:dyDescent="0.25">
      <c r="A242" s="92"/>
      <c r="B242" s="92"/>
      <c r="C242" s="95"/>
      <c r="D242" s="95">
        <v>1263</v>
      </c>
      <c r="E242" s="90" t="s">
        <v>128</v>
      </c>
      <c r="F242" s="92" t="s">
        <v>130</v>
      </c>
      <c r="G242" s="78"/>
      <c r="H242" s="82">
        <v>1276</v>
      </c>
      <c r="I242" s="82" t="s">
        <v>128</v>
      </c>
      <c r="J242" s="82" t="s">
        <v>129</v>
      </c>
      <c r="K242" s="81"/>
    </row>
    <row r="243" spans="1:11" x14ac:dyDescent="0.25">
      <c r="A243" s="94" t="s">
        <v>269</v>
      </c>
      <c r="B243" s="92"/>
      <c r="C243" s="95"/>
      <c r="D243" s="95">
        <v>0.94</v>
      </c>
      <c r="E243" s="95">
        <v>1.05</v>
      </c>
      <c r="F243" s="92">
        <v>1.05</v>
      </c>
      <c r="G243" s="82"/>
      <c r="H243" s="82">
        <v>1.01</v>
      </c>
      <c r="I243" s="82">
        <v>0.96</v>
      </c>
      <c r="J243" s="82">
        <v>0.96</v>
      </c>
      <c r="K243" s="81"/>
    </row>
    <row r="244" spans="1:11" x14ac:dyDescent="0.25">
      <c r="A244" s="94" t="s">
        <v>145</v>
      </c>
      <c r="B244" s="92"/>
      <c r="C244" s="95"/>
      <c r="D244" s="95">
        <v>1.45</v>
      </c>
      <c r="E244" s="95">
        <v>1.63</v>
      </c>
      <c r="F244" s="92">
        <v>1.75</v>
      </c>
      <c r="G244" s="82"/>
      <c r="H244" s="82">
        <v>1.63</v>
      </c>
      <c r="I244" s="82">
        <v>1.63</v>
      </c>
      <c r="J244" s="82">
        <v>1.75</v>
      </c>
      <c r="K244" s="81"/>
    </row>
    <row r="245" spans="1:11" x14ac:dyDescent="0.25">
      <c r="A245" s="94" t="s">
        <v>146</v>
      </c>
      <c r="B245" s="92"/>
      <c r="C245" s="95"/>
      <c r="D245" s="95">
        <v>2.48</v>
      </c>
      <c r="E245" s="95">
        <v>2.48</v>
      </c>
      <c r="F245" s="92">
        <v>2.6</v>
      </c>
      <c r="G245" s="82"/>
      <c r="H245" s="82">
        <v>2.52</v>
      </c>
      <c r="I245" s="82">
        <v>2.4700000000000002</v>
      </c>
      <c r="J245" s="82">
        <v>2.61</v>
      </c>
      <c r="K245" s="81"/>
    </row>
    <row r="246" spans="1:11" x14ac:dyDescent="0.25">
      <c r="A246" s="94" t="s">
        <v>133</v>
      </c>
      <c r="B246" s="92"/>
      <c r="C246" s="95"/>
      <c r="D246" s="95">
        <v>1</v>
      </c>
      <c r="E246" s="95">
        <v>1</v>
      </c>
      <c r="F246" s="92">
        <v>1</v>
      </c>
      <c r="G246" s="82"/>
      <c r="H246" s="82">
        <v>2</v>
      </c>
      <c r="I246" s="82">
        <v>2</v>
      </c>
      <c r="J246" s="82">
        <v>2</v>
      </c>
      <c r="K246" s="81"/>
    </row>
    <row r="247" spans="1:11" x14ac:dyDescent="0.25">
      <c r="A247" s="105"/>
      <c r="B247" s="105"/>
      <c r="C247" s="105"/>
      <c r="D247" s="105"/>
      <c r="E247" s="105"/>
      <c r="F247" s="105"/>
      <c r="G247" s="89" t="s">
        <v>134</v>
      </c>
      <c r="H247" s="82" t="s">
        <v>131</v>
      </c>
      <c r="I247" s="82">
        <v>3.5</v>
      </c>
      <c r="J247" s="82">
        <v>3.4</v>
      </c>
      <c r="K247" s="81"/>
    </row>
    <row r="248" spans="1:11" x14ac:dyDescent="0.25">
      <c r="A248" s="112" t="s">
        <v>167</v>
      </c>
      <c r="B248" s="70"/>
      <c r="C248" s="70"/>
      <c r="D248" s="70"/>
      <c r="E248" s="70"/>
      <c r="F248" s="70"/>
      <c r="G248" s="70"/>
      <c r="H248" s="70"/>
      <c r="I248" s="70"/>
      <c r="J248" s="70"/>
      <c r="K248" s="81"/>
    </row>
    <row r="249" spans="1:11" x14ac:dyDescent="0.25">
      <c r="A249" s="112" t="s">
        <v>168</v>
      </c>
      <c r="B249" s="70"/>
      <c r="C249" s="70"/>
      <c r="D249" s="70"/>
      <c r="E249" s="70"/>
      <c r="F249" s="70"/>
      <c r="G249" s="70"/>
      <c r="H249" s="70"/>
      <c r="I249" s="70"/>
      <c r="J249" s="70"/>
      <c r="K249" s="71"/>
    </row>
    <row r="250" spans="1:11" ht="15.75" x14ac:dyDescent="0.25">
      <c r="D250" s="68"/>
      <c r="E250" s="72" t="s">
        <v>209</v>
      </c>
      <c r="F250" s="79"/>
      <c r="G250" s="79"/>
      <c r="H250" s="79"/>
      <c r="I250" s="79"/>
      <c r="J250" s="68"/>
      <c r="K250" s="71"/>
    </row>
    <row r="251" spans="1:11" x14ac:dyDescent="0.25">
      <c r="D251" s="68"/>
      <c r="E251" s="86" t="s">
        <v>176</v>
      </c>
      <c r="F251" s="79"/>
      <c r="G251" s="87"/>
      <c r="H251" s="79"/>
      <c r="I251" s="79"/>
      <c r="J251" s="68"/>
      <c r="K251" s="71"/>
    </row>
    <row r="252" spans="1:11" ht="15.75" x14ac:dyDescent="0.25">
      <c r="A252" s="68"/>
      <c r="B252" s="68"/>
      <c r="C252" s="68"/>
      <c r="D252" s="68"/>
      <c r="E252" s="117" t="str">
        <f>"21717736"</f>
        <v>21717736</v>
      </c>
      <c r="F252" s="68"/>
      <c r="G252" s="72"/>
      <c r="H252" s="68"/>
      <c r="I252" s="68"/>
      <c r="J252" s="68"/>
      <c r="K252" s="71"/>
    </row>
    <row r="253" spans="1:11" x14ac:dyDescent="0.25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</row>
  </sheetData>
  <sheetProtection algorithmName="SHA-512" hashValue="rr4PHrlYW7aLIiW3OHP5A61p7yIOydf4YN2E/cE4uoAJvW/twAMIzvstHe1OdzKTVgQtls9xbc/OfyRjnlyA7w==" saltValue="rFnZvrtIYQEOcg/vyGm7yw==" spinCount="100000" sheet="1" objects="1" scenarios="1"/>
  <conditionalFormatting sqref="B16">
    <cfRule type="cellIs" dxfId="12" priority="7" operator="lessThan">
      <formula>$A$16</formula>
    </cfRule>
  </conditionalFormatting>
  <conditionalFormatting sqref="B17">
    <cfRule type="cellIs" dxfId="11" priority="6" operator="lessThan">
      <formula>$A$17</formula>
    </cfRule>
  </conditionalFormatting>
  <conditionalFormatting sqref="B18">
    <cfRule type="cellIs" dxfId="10" priority="5" operator="lessThan">
      <formula>$A$18</formula>
    </cfRule>
  </conditionalFormatting>
  <conditionalFormatting sqref="B19">
    <cfRule type="cellIs" dxfId="9" priority="3" operator="lessThan">
      <formula>$A$19</formula>
    </cfRule>
  </conditionalFormatting>
  <conditionalFormatting sqref="B20">
    <cfRule type="cellIs" dxfId="8" priority="2" operator="lessThan">
      <formula>$A$20</formula>
    </cfRule>
  </conditionalFormatting>
  <conditionalFormatting sqref="B21">
    <cfRule type="cellIs" dxfId="7" priority="1" operator="lessThan">
      <formula>$A$21</formula>
    </cfRule>
  </conditionalFormatting>
  <conditionalFormatting sqref="D15">
    <cfRule type="cellIs" dxfId="6" priority="14" operator="greaterThan">
      <formula>$C$15</formula>
    </cfRule>
  </conditionalFormatting>
  <conditionalFormatting sqref="D16">
    <cfRule type="cellIs" dxfId="5" priority="13" operator="greaterThan">
      <formula>$C$16</formula>
    </cfRule>
  </conditionalFormatting>
  <conditionalFormatting sqref="D17">
    <cfRule type="cellIs" dxfId="4" priority="12" operator="greaterThan">
      <formula>$C$17</formula>
    </cfRule>
  </conditionalFormatting>
  <conditionalFormatting sqref="D18">
    <cfRule type="cellIs" dxfId="3" priority="11" operator="greaterThan">
      <formula>$C$18</formula>
    </cfRule>
  </conditionalFormatting>
  <conditionalFormatting sqref="D19">
    <cfRule type="cellIs" dxfId="2" priority="10" operator="greaterThan">
      <formula>$C$19</formula>
    </cfRule>
  </conditionalFormatting>
  <conditionalFormatting sqref="D20">
    <cfRule type="cellIs" dxfId="1" priority="9" operator="greaterThan">
      <formula>$C$20</formula>
    </cfRule>
  </conditionalFormatting>
  <conditionalFormatting sqref="D21">
    <cfRule type="cellIs" dxfId="0" priority="8" operator="greaterThan">
      <formula>$C$21</formula>
    </cfRule>
  </conditionalFormatting>
  <hyperlinks>
    <hyperlink ref="E251" r:id="rId1" xr:uid="{5EDE0595-E5E5-4541-A432-F13F054B9B18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57F2B-B1B1-4725-9AD7-36AC25532533}">
  <dimension ref="A1:K96"/>
  <sheetViews>
    <sheetView topLeftCell="A52" zoomScale="154" zoomScaleNormal="154" workbookViewId="0">
      <selection activeCell="I67" sqref="I67"/>
    </sheetView>
  </sheetViews>
  <sheetFormatPr defaultRowHeight="15" x14ac:dyDescent="0.25"/>
  <cols>
    <col min="1" max="1" width="11.140625" customWidth="1"/>
    <col min="3" max="3" width="10.7109375" customWidth="1"/>
    <col min="4" max="4" width="12" customWidth="1"/>
    <col min="6" max="6" width="14.5703125" customWidth="1"/>
    <col min="7" max="7" width="6.140625" customWidth="1"/>
    <col min="8" max="8" width="9.85546875" customWidth="1"/>
  </cols>
  <sheetData>
    <row r="1" spans="1:10" x14ac:dyDescent="0.25">
      <c r="A1" s="75" t="s">
        <v>122</v>
      </c>
      <c r="B1" s="70"/>
      <c r="C1" s="70"/>
      <c r="D1" s="70"/>
      <c r="E1" s="70"/>
      <c r="F1" s="70"/>
      <c r="G1" s="118"/>
      <c r="H1" s="118"/>
    </row>
    <row r="2" spans="1:10" x14ac:dyDescent="0.25">
      <c r="A2" s="75" t="s">
        <v>125</v>
      </c>
      <c r="B2" s="70"/>
      <c r="C2" s="70"/>
      <c r="D2" s="70"/>
      <c r="E2" s="70"/>
      <c r="F2" s="70"/>
      <c r="G2" s="118"/>
      <c r="H2" s="118"/>
    </row>
    <row r="3" spans="1:10" x14ac:dyDescent="0.25">
      <c r="A3" t="s">
        <v>152</v>
      </c>
    </row>
    <row r="4" spans="1:10" x14ac:dyDescent="0.25">
      <c r="A4" t="s">
        <v>151</v>
      </c>
    </row>
    <row r="5" spans="1:10" x14ac:dyDescent="0.25">
      <c r="A5" s="5" t="s">
        <v>113</v>
      </c>
      <c r="B5" s="5"/>
      <c r="C5" s="5"/>
      <c r="D5" s="5"/>
      <c r="E5" s="5"/>
      <c r="F5" s="5"/>
      <c r="G5" s="5"/>
    </row>
    <row r="6" spans="1:10" x14ac:dyDescent="0.25">
      <c r="A6" s="194" t="s">
        <v>154</v>
      </c>
      <c r="B6" s="111"/>
      <c r="C6" s="111"/>
    </row>
    <row r="7" spans="1:10" x14ac:dyDescent="0.25">
      <c r="A7" s="5"/>
      <c r="H7" s="70" t="s">
        <v>181</v>
      </c>
    </row>
    <row r="8" spans="1:10" x14ac:dyDescent="0.25">
      <c r="A8" s="5" t="s">
        <v>191</v>
      </c>
      <c r="C8" t="s">
        <v>112</v>
      </c>
      <c r="E8" s="97" t="s">
        <v>177</v>
      </c>
      <c r="F8" s="97"/>
      <c r="G8" s="97"/>
      <c r="H8" s="70" t="s">
        <v>4</v>
      </c>
    </row>
    <row r="9" spans="1:10" x14ac:dyDescent="0.25">
      <c r="A9" t="s">
        <v>89</v>
      </c>
      <c r="B9" s="5" t="s">
        <v>115</v>
      </c>
      <c r="D9" s="5" t="s">
        <v>124</v>
      </c>
      <c r="H9" s="70" t="s">
        <v>180</v>
      </c>
    </row>
    <row r="10" spans="1:10" x14ac:dyDescent="0.25">
      <c r="A10" t="s">
        <v>9</v>
      </c>
      <c r="B10">
        <v>100</v>
      </c>
      <c r="D10" s="98">
        <v>11</v>
      </c>
      <c r="E10" s="82" t="s">
        <v>90</v>
      </c>
      <c r="G10" s="7"/>
      <c r="H10" s="80">
        <v>11</v>
      </c>
    </row>
    <row r="11" spans="1:10" x14ac:dyDescent="0.25">
      <c r="A11" t="s">
        <v>78</v>
      </c>
      <c r="B11">
        <v>32</v>
      </c>
      <c r="D11" s="98">
        <v>3.5</v>
      </c>
      <c r="E11" s="15">
        <f t="shared" ref="E11:E20" si="0">D11/D$10*100/B11*100</f>
        <v>99.431818181818173</v>
      </c>
      <c r="G11" s="7"/>
      <c r="H11" s="80">
        <v>3.5</v>
      </c>
      <c r="J11" s="1"/>
    </row>
    <row r="12" spans="1:10" x14ac:dyDescent="0.25">
      <c r="A12" t="s">
        <v>80</v>
      </c>
      <c r="B12">
        <v>54</v>
      </c>
      <c r="D12" s="98">
        <v>5.9</v>
      </c>
      <c r="E12" s="15">
        <f t="shared" si="0"/>
        <v>99.326599326599336</v>
      </c>
      <c r="G12" s="7"/>
      <c r="H12" s="80">
        <v>5.9</v>
      </c>
      <c r="J12" s="1"/>
    </row>
    <row r="13" spans="1:10" x14ac:dyDescent="0.25">
      <c r="A13" t="s">
        <v>79</v>
      </c>
      <c r="B13">
        <v>62</v>
      </c>
      <c r="D13" s="98">
        <v>6.8</v>
      </c>
      <c r="E13" s="15">
        <f t="shared" si="0"/>
        <v>99.706744868035173</v>
      </c>
      <c r="G13" s="7"/>
      <c r="H13" s="80">
        <v>6.8</v>
      </c>
      <c r="J13" s="1"/>
    </row>
    <row r="14" spans="1:10" x14ac:dyDescent="0.25">
      <c r="A14" t="s">
        <v>81</v>
      </c>
      <c r="B14">
        <v>23</v>
      </c>
      <c r="D14" s="98">
        <v>2.5299999999999998</v>
      </c>
      <c r="E14" s="15">
        <f t="shared" si="0"/>
        <v>100</v>
      </c>
      <c r="G14" s="7"/>
      <c r="H14" s="80">
        <v>2.5299999999999998</v>
      </c>
      <c r="J14" s="1"/>
    </row>
    <row r="15" spans="1:10" x14ac:dyDescent="0.25">
      <c r="A15" t="s">
        <v>82</v>
      </c>
      <c r="B15">
        <v>53</v>
      </c>
      <c r="D15" s="98">
        <v>5</v>
      </c>
      <c r="E15" s="15">
        <f t="shared" si="0"/>
        <v>85.763293310463112</v>
      </c>
      <c r="G15" s="7"/>
      <c r="H15" s="80">
        <v>5</v>
      </c>
      <c r="J15" s="1"/>
    </row>
    <row r="16" spans="1:10" x14ac:dyDescent="0.25">
      <c r="A16" t="s">
        <v>83</v>
      </c>
      <c r="B16">
        <v>100</v>
      </c>
      <c r="D16" s="98">
        <v>9.5</v>
      </c>
      <c r="E16" s="15">
        <f t="shared" si="0"/>
        <v>86.36363636363636</v>
      </c>
      <c r="G16" s="7"/>
      <c r="H16" s="80">
        <v>9.5</v>
      </c>
      <c r="J16" s="1"/>
    </row>
    <row r="17" spans="1:11" x14ac:dyDescent="0.25">
      <c r="A17" t="s">
        <v>84</v>
      </c>
      <c r="B17">
        <v>32</v>
      </c>
      <c r="D17" s="98">
        <v>3</v>
      </c>
      <c r="E17" s="15">
        <f t="shared" si="0"/>
        <v>85.22727272727272</v>
      </c>
      <c r="G17" s="7"/>
      <c r="H17" s="80">
        <v>3</v>
      </c>
      <c r="J17" s="1"/>
    </row>
    <row r="18" spans="1:11" x14ac:dyDescent="0.25">
      <c r="A18" t="s">
        <v>85</v>
      </c>
      <c r="B18">
        <v>54</v>
      </c>
      <c r="D18" s="98">
        <v>5.9</v>
      </c>
      <c r="E18" s="15">
        <f t="shared" si="0"/>
        <v>99.326599326599336</v>
      </c>
      <c r="G18" s="7"/>
      <c r="H18" s="80">
        <v>5.9</v>
      </c>
      <c r="J18" s="1"/>
    </row>
    <row r="19" spans="1:11" x14ac:dyDescent="0.25">
      <c r="A19" t="s">
        <v>86</v>
      </c>
      <c r="B19">
        <v>100</v>
      </c>
      <c r="D19" s="98">
        <v>10.5</v>
      </c>
      <c r="E19" s="15">
        <f t="shared" si="0"/>
        <v>95.454545454545453</v>
      </c>
      <c r="F19" s="188" t="s">
        <v>184</v>
      </c>
      <c r="G19" s="7"/>
      <c r="H19" s="80">
        <v>10.5</v>
      </c>
      <c r="J19" s="1"/>
    </row>
    <row r="20" spans="1:11" x14ac:dyDescent="0.25">
      <c r="A20" t="s">
        <v>87</v>
      </c>
      <c r="B20">
        <v>67</v>
      </c>
      <c r="D20" s="98">
        <v>6.9</v>
      </c>
      <c r="E20" s="15">
        <f t="shared" si="0"/>
        <v>93.622795115332437</v>
      </c>
      <c r="F20" s="188" t="s">
        <v>117</v>
      </c>
      <c r="G20" s="7"/>
      <c r="H20" s="80">
        <v>6.9</v>
      </c>
      <c r="J20" s="1"/>
    </row>
    <row r="21" spans="1:11" x14ac:dyDescent="0.25">
      <c r="A21" s="78" t="s">
        <v>88</v>
      </c>
      <c r="B21" s="78">
        <v>145</v>
      </c>
      <c r="C21" s="78" t="s">
        <v>194</v>
      </c>
      <c r="D21" s="99">
        <v>140</v>
      </c>
      <c r="E21" s="17">
        <f>D21/D$10*100/B21*10</f>
        <v>87.774294670846388</v>
      </c>
      <c r="F21" s="189" t="s">
        <v>110</v>
      </c>
      <c r="H21" s="70" t="s">
        <v>179</v>
      </c>
      <c r="J21" s="1"/>
      <c r="K21" s="1"/>
    </row>
    <row r="22" spans="1:11" x14ac:dyDescent="0.25">
      <c r="C22" t="s">
        <v>92</v>
      </c>
      <c r="E22" s="17">
        <f>MIN(E11:E20)</f>
        <v>85.22727272727272</v>
      </c>
      <c r="F22" s="189" t="s">
        <v>111</v>
      </c>
      <c r="J22" s="1"/>
      <c r="K22" s="1"/>
    </row>
    <row r="23" spans="1:11" x14ac:dyDescent="0.25">
      <c r="C23" t="s">
        <v>93</v>
      </c>
      <c r="E23" s="17">
        <f>(E22+E21)/2</f>
        <v>86.500783699059554</v>
      </c>
      <c r="F23" s="189">
        <f>E21</f>
        <v>87.774294670846388</v>
      </c>
      <c r="J23" s="1"/>
      <c r="K23" s="1"/>
    </row>
    <row r="24" spans="1:11" x14ac:dyDescent="0.25">
      <c r="A24" t="s">
        <v>91</v>
      </c>
      <c r="E24" s="21">
        <f>IF(E23&gt;100,1,IF(E23&gt;95,0.98+(E23-95)*0.004,IF(E23&gt;90,0.95+(E23-90)*0.006,IF(E23&gt;85,0.91+(E23-85)*0.008,0.91-(85-E23)*0.01))))</f>
        <v>0.92200626959247645</v>
      </c>
      <c r="F24" s="190">
        <f>IF(F23&gt;100,1,IF(F23&gt;95,0.98+(F23-95)*0.004,IF(F23&gt;90,0.95+(F23-90)*0.006,IF(F23&gt;85,0.91+(F23-85)*0.008,0.91-(85-F23)*0.01))))</f>
        <v>0.93219435736677114</v>
      </c>
      <c r="J24" s="2"/>
      <c r="K24" s="2"/>
    </row>
    <row r="25" spans="1:11" x14ac:dyDescent="0.25">
      <c r="A25" s="83" t="s">
        <v>123</v>
      </c>
      <c r="B25" s="83"/>
      <c r="C25" s="83"/>
      <c r="D25" s="83"/>
      <c r="E25" s="84">
        <f>D10*E24</f>
        <v>10.142068965517241</v>
      </c>
      <c r="F25" s="23">
        <f>D10*F24</f>
        <v>10.254137931034483</v>
      </c>
      <c r="J25" s="1"/>
      <c r="K25" s="1"/>
    </row>
    <row r="26" spans="1:11" x14ac:dyDescent="0.25">
      <c r="E26" s="85" t="s">
        <v>118</v>
      </c>
      <c r="F26" s="20" t="s">
        <v>119</v>
      </c>
      <c r="J26" s="1"/>
      <c r="K26" s="1"/>
    </row>
    <row r="27" spans="1:11" x14ac:dyDescent="0.25">
      <c r="F27" s="52" t="s">
        <v>153</v>
      </c>
    </row>
    <row r="28" spans="1:11" x14ac:dyDescent="0.25">
      <c r="H28" s="70" t="s">
        <v>181</v>
      </c>
    </row>
    <row r="29" spans="1:11" x14ac:dyDescent="0.25">
      <c r="A29" s="5" t="s">
        <v>192</v>
      </c>
      <c r="C29" t="s">
        <v>116</v>
      </c>
      <c r="E29" s="97" t="s">
        <v>178</v>
      </c>
      <c r="F29" s="97"/>
      <c r="G29" s="97"/>
      <c r="H29" s="70" t="s">
        <v>4</v>
      </c>
    </row>
    <row r="30" spans="1:11" x14ac:dyDescent="0.25">
      <c r="A30" t="s">
        <v>89</v>
      </c>
      <c r="B30" s="5" t="s">
        <v>114</v>
      </c>
      <c r="D30" s="5" t="s">
        <v>124</v>
      </c>
      <c r="H30" s="70" t="s">
        <v>182</v>
      </c>
    </row>
    <row r="31" spans="1:11" x14ac:dyDescent="0.25">
      <c r="A31" t="s">
        <v>9</v>
      </c>
      <c r="B31">
        <v>100</v>
      </c>
      <c r="D31" s="98">
        <v>11.5</v>
      </c>
      <c r="E31" s="82" t="s">
        <v>90</v>
      </c>
      <c r="H31" s="80">
        <v>11.5</v>
      </c>
    </row>
    <row r="32" spans="1:11" x14ac:dyDescent="0.25">
      <c r="A32" t="s">
        <v>78</v>
      </c>
      <c r="B32">
        <v>32</v>
      </c>
      <c r="D32" s="98">
        <v>3.7</v>
      </c>
      <c r="E32" s="15">
        <f t="shared" ref="E32:E41" si="1">D32/D$31*100/B32*100</f>
        <v>100.54347826086958</v>
      </c>
      <c r="H32" s="80">
        <v>3.7</v>
      </c>
    </row>
    <row r="33" spans="1:8" x14ac:dyDescent="0.25">
      <c r="A33" t="s">
        <v>80</v>
      </c>
      <c r="B33">
        <v>54</v>
      </c>
      <c r="D33" s="98">
        <v>6.2</v>
      </c>
      <c r="E33" s="15">
        <f t="shared" si="1"/>
        <v>99.838969404186798</v>
      </c>
      <c r="H33" s="80">
        <v>6.2</v>
      </c>
    </row>
    <row r="34" spans="1:8" x14ac:dyDescent="0.25">
      <c r="A34" t="s">
        <v>79</v>
      </c>
      <c r="B34">
        <v>62</v>
      </c>
      <c r="D34" s="98">
        <v>7</v>
      </c>
      <c r="E34" s="15">
        <f t="shared" si="1"/>
        <v>98.176718092566631</v>
      </c>
      <c r="H34" s="80">
        <v>7.1</v>
      </c>
    </row>
    <row r="35" spans="1:8" x14ac:dyDescent="0.25">
      <c r="A35" t="s">
        <v>81</v>
      </c>
      <c r="B35">
        <v>23</v>
      </c>
      <c r="D35" s="98">
        <v>2.65</v>
      </c>
      <c r="E35" s="15">
        <f t="shared" si="1"/>
        <v>100.1890359168242</v>
      </c>
      <c r="H35" s="80">
        <v>2.65</v>
      </c>
    </row>
    <row r="36" spans="1:8" x14ac:dyDescent="0.25">
      <c r="A36" t="s">
        <v>82</v>
      </c>
      <c r="B36">
        <v>53</v>
      </c>
      <c r="D36" s="98">
        <v>5.2</v>
      </c>
      <c r="E36" s="15">
        <f t="shared" si="1"/>
        <v>85.315832649712888</v>
      </c>
      <c r="H36" s="80">
        <v>5.2</v>
      </c>
    </row>
    <row r="37" spans="1:8" x14ac:dyDescent="0.25">
      <c r="A37" t="s">
        <v>83</v>
      </c>
      <c r="B37">
        <v>100</v>
      </c>
      <c r="D37" s="98">
        <v>9.9</v>
      </c>
      <c r="E37" s="15">
        <f t="shared" si="1"/>
        <v>86.08695652173914</v>
      </c>
      <c r="H37" s="80">
        <v>9.9</v>
      </c>
    </row>
    <row r="38" spans="1:8" x14ac:dyDescent="0.25">
      <c r="A38" t="s">
        <v>84</v>
      </c>
      <c r="B38">
        <v>32</v>
      </c>
      <c r="D38" s="98">
        <v>3.2</v>
      </c>
      <c r="E38" s="15">
        <f t="shared" si="1"/>
        <v>86.956521739130437</v>
      </c>
      <c r="H38" s="80">
        <v>3.2</v>
      </c>
    </row>
    <row r="39" spans="1:8" x14ac:dyDescent="0.25">
      <c r="A39" t="s">
        <v>85</v>
      </c>
      <c r="B39">
        <v>54</v>
      </c>
      <c r="D39" s="98">
        <v>6.2</v>
      </c>
      <c r="E39" s="15">
        <f t="shared" si="1"/>
        <v>99.838969404186798</v>
      </c>
      <c r="H39" s="80">
        <v>6.2</v>
      </c>
    </row>
    <row r="40" spans="1:8" x14ac:dyDescent="0.25">
      <c r="A40" t="s">
        <v>86</v>
      </c>
      <c r="B40">
        <v>95</v>
      </c>
      <c r="D40" s="98">
        <v>10.9</v>
      </c>
      <c r="E40" s="15">
        <f t="shared" si="1"/>
        <v>99.771167048054934</v>
      </c>
      <c r="F40" s="188" t="s">
        <v>184</v>
      </c>
      <c r="H40" s="80">
        <v>10.9</v>
      </c>
    </row>
    <row r="41" spans="1:8" x14ac:dyDescent="0.25">
      <c r="A41" t="s">
        <v>87</v>
      </c>
      <c r="B41">
        <v>67</v>
      </c>
      <c r="D41" s="98">
        <v>7.2</v>
      </c>
      <c r="E41" s="15">
        <f t="shared" si="1"/>
        <v>93.445814406229729</v>
      </c>
      <c r="F41" s="188" t="s">
        <v>117</v>
      </c>
      <c r="H41" s="80">
        <v>7.2</v>
      </c>
    </row>
    <row r="42" spans="1:8" x14ac:dyDescent="0.25">
      <c r="A42" s="78" t="s">
        <v>88</v>
      </c>
      <c r="B42" s="78">
        <v>145</v>
      </c>
      <c r="C42" s="78" t="s">
        <v>194</v>
      </c>
      <c r="D42" s="99">
        <v>142</v>
      </c>
      <c r="E42" s="17">
        <f>D42/D$31*100/B42*10</f>
        <v>85.157421289355312</v>
      </c>
      <c r="F42" s="189" t="s">
        <v>110</v>
      </c>
      <c r="H42" s="70" t="s">
        <v>183</v>
      </c>
    </row>
    <row r="43" spans="1:8" x14ac:dyDescent="0.25">
      <c r="C43" t="s">
        <v>92</v>
      </c>
      <c r="E43" s="17">
        <f>MIN(E32:E41)</f>
        <v>85.315832649712888</v>
      </c>
      <c r="F43" s="189" t="s">
        <v>111</v>
      </c>
    </row>
    <row r="44" spans="1:8" x14ac:dyDescent="0.25">
      <c r="C44" t="s">
        <v>93</v>
      </c>
      <c r="E44" s="17">
        <f>(E43+E42)/2</f>
        <v>85.2366269695341</v>
      </c>
      <c r="F44" s="189">
        <f>E42</f>
        <v>85.157421289355312</v>
      </c>
    </row>
    <row r="45" spans="1:8" x14ac:dyDescent="0.25">
      <c r="A45" t="s">
        <v>91</v>
      </c>
      <c r="E45" s="21">
        <f>IF(E44&gt;100,1,IF(E44&gt;95,0.98+(E44-95)*0.004,IF(E44&gt;90,0.95+(E44-90)*0.006,IF(E44&gt;85,0.91+(E44-85)*0.008,0.91-(85-E44)*0.01))))</f>
        <v>0.9118930157562728</v>
      </c>
      <c r="F45" s="190">
        <f>IF(F44&gt;100,1,IF(F44&gt;95,0.98+(F44-95)*0.004,IF(F44&gt;90,0.95+(F44-90)*0.006,IF(F44&gt;85,0.91+(F44-85)*0.008,0.91-(85-F44)*0.01))))</f>
        <v>0.9112593703148425</v>
      </c>
    </row>
    <row r="46" spans="1:8" x14ac:dyDescent="0.25">
      <c r="A46" s="83" t="s">
        <v>123</v>
      </c>
      <c r="B46" s="83"/>
      <c r="C46" s="83"/>
      <c r="D46" s="83"/>
      <c r="E46" s="84">
        <f>D31*E45</f>
        <v>10.486769681197137</v>
      </c>
      <c r="F46" s="23">
        <f>D31*F45</f>
        <v>10.479482758620689</v>
      </c>
    </row>
    <row r="47" spans="1:8" x14ac:dyDescent="0.25">
      <c r="E47" s="83" t="s">
        <v>118</v>
      </c>
      <c r="F47" s="20" t="s">
        <v>119</v>
      </c>
    </row>
    <row r="48" spans="1:8" x14ac:dyDescent="0.25">
      <c r="F48" s="52" t="s">
        <v>153</v>
      </c>
    </row>
    <row r="49" spans="1:8" x14ac:dyDescent="0.25">
      <c r="H49" s="70" t="s">
        <v>181</v>
      </c>
    </row>
    <row r="50" spans="1:8" x14ac:dyDescent="0.25">
      <c r="A50" s="5" t="s">
        <v>193</v>
      </c>
      <c r="C50" t="s">
        <v>120</v>
      </c>
      <c r="E50" s="97" t="s">
        <v>185</v>
      </c>
      <c r="F50" s="97"/>
      <c r="G50" s="97"/>
      <c r="H50" s="70" t="s">
        <v>4</v>
      </c>
    </row>
    <row r="51" spans="1:8" x14ac:dyDescent="0.25">
      <c r="A51" t="s">
        <v>89</v>
      </c>
      <c r="B51" s="5" t="s">
        <v>114</v>
      </c>
      <c r="D51" s="5" t="s">
        <v>124</v>
      </c>
      <c r="H51" s="70" t="s">
        <v>186</v>
      </c>
    </row>
    <row r="52" spans="1:8" x14ac:dyDescent="0.25">
      <c r="A52" t="s">
        <v>9</v>
      </c>
      <c r="B52">
        <v>100</v>
      </c>
      <c r="D52" s="98">
        <v>12</v>
      </c>
      <c r="E52" s="82" t="s">
        <v>90</v>
      </c>
      <c r="H52" s="80">
        <v>12</v>
      </c>
    </row>
    <row r="53" spans="1:8" x14ac:dyDescent="0.25">
      <c r="A53" t="s">
        <v>78</v>
      </c>
      <c r="B53">
        <v>32</v>
      </c>
      <c r="D53" s="98">
        <v>3.8</v>
      </c>
      <c r="E53" s="15">
        <f>D53/D$52*100/B53*100</f>
        <v>98.958333333333329</v>
      </c>
      <c r="H53" s="80">
        <v>3.8</v>
      </c>
    </row>
    <row r="54" spans="1:8" x14ac:dyDescent="0.25">
      <c r="A54" t="s">
        <v>80</v>
      </c>
      <c r="B54">
        <v>54</v>
      </c>
      <c r="D54" s="98">
        <v>6.5</v>
      </c>
      <c r="E54" s="15">
        <f t="shared" ref="E54:E62" si="2">D54/D$52*100/B54*100</f>
        <v>100.30864197530865</v>
      </c>
      <c r="H54" s="80">
        <v>6.5</v>
      </c>
    </row>
    <row r="55" spans="1:8" x14ac:dyDescent="0.25">
      <c r="A55" t="s">
        <v>79</v>
      </c>
      <c r="B55">
        <v>62</v>
      </c>
      <c r="D55" s="98">
        <v>7.4</v>
      </c>
      <c r="E55" s="15">
        <f t="shared" si="2"/>
        <v>99.462365591397855</v>
      </c>
      <c r="H55" s="80">
        <v>7.4</v>
      </c>
    </row>
    <row r="56" spans="1:8" x14ac:dyDescent="0.25">
      <c r="A56" t="s">
        <v>81</v>
      </c>
      <c r="B56">
        <v>21</v>
      </c>
      <c r="D56" s="98">
        <v>2.5</v>
      </c>
      <c r="E56" s="15">
        <f t="shared" si="2"/>
        <v>99.206349206349216</v>
      </c>
      <c r="H56" s="80">
        <v>2.52</v>
      </c>
    </row>
    <row r="57" spans="1:8" x14ac:dyDescent="0.25">
      <c r="A57" t="s">
        <v>82</v>
      </c>
      <c r="B57">
        <v>53</v>
      </c>
      <c r="D57" s="98">
        <v>5.7</v>
      </c>
      <c r="E57" s="15">
        <f t="shared" si="2"/>
        <v>89.622641509433961</v>
      </c>
      <c r="H57" s="80">
        <v>5.7</v>
      </c>
    </row>
    <row r="58" spans="1:8" x14ac:dyDescent="0.25">
      <c r="A58" t="s">
        <v>83</v>
      </c>
      <c r="B58">
        <v>100</v>
      </c>
      <c r="D58" s="98">
        <v>10.8</v>
      </c>
      <c r="E58" s="15">
        <f t="shared" si="2"/>
        <v>90</v>
      </c>
      <c r="H58" s="80">
        <v>10.8</v>
      </c>
    </row>
    <row r="59" spans="1:8" x14ac:dyDescent="0.25">
      <c r="A59" t="s">
        <v>84</v>
      </c>
      <c r="B59">
        <v>32</v>
      </c>
      <c r="D59" s="98">
        <v>3.5</v>
      </c>
      <c r="E59" s="15">
        <f t="shared" si="2"/>
        <v>91.145833333333343</v>
      </c>
      <c r="H59" s="80">
        <v>3.5</v>
      </c>
    </row>
    <row r="60" spans="1:8" x14ac:dyDescent="0.25">
      <c r="A60" t="s">
        <v>85</v>
      </c>
      <c r="B60">
        <v>54</v>
      </c>
      <c r="D60" s="98">
        <v>6.5</v>
      </c>
      <c r="E60" s="15">
        <f t="shared" si="2"/>
        <v>100.30864197530865</v>
      </c>
      <c r="H60" s="80">
        <v>6.5</v>
      </c>
    </row>
    <row r="61" spans="1:8" x14ac:dyDescent="0.25">
      <c r="A61" t="s">
        <v>86</v>
      </c>
      <c r="B61">
        <v>95</v>
      </c>
      <c r="D61" s="98">
        <v>11</v>
      </c>
      <c r="E61" s="15">
        <f t="shared" si="2"/>
        <v>96.491228070175424</v>
      </c>
      <c r="F61" s="188" t="s">
        <v>184</v>
      </c>
      <c r="H61" s="80">
        <v>11.4</v>
      </c>
    </row>
    <row r="62" spans="1:8" x14ac:dyDescent="0.25">
      <c r="A62" t="s">
        <v>87</v>
      </c>
      <c r="B62">
        <v>67</v>
      </c>
      <c r="D62" s="98">
        <v>7.3</v>
      </c>
      <c r="E62" s="15">
        <f t="shared" si="2"/>
        <v>90.796019900497498</v>
      </c>
      <c r="F62" s="188" t="s">
        <v>117</v>
      </c>
      <c r="H62" s="80">
        <v>7.6</v>
      </c>
    </row>
    <row r="63" spans="1:8" x14ac:dyDescent="0.25">
      <c r="A63" s="78" t="s">
        <v>88</v>
      </c>
      <c r="B63" s="78">
        <v>145</v>
      </c>
      <c r="C63" s="78" t="s">
        <v>194</v>
      </c>
      <c r="D63" s="99">
        <v>153</v>
      </c>
      <c r="E63" s="17">
        <f>D63/D$52*100/B63*10</f>
        <v>87.931034482758605</v>
      </c>
      <c r="F63" s="189" t="s">
        <v>110</v>
      </c>
      <c r="H63" s="70" t="s">
        <v>187</v>
      </c>
    </row>
    <row r="64" spans="1:8" x14ac:dyDescent="0.25">
      <c r="C64" t="s">
        <v>92</v>
      </c>
      <c r="E64" s="17">
        <f>MIN(E53:E62)</f>
        <v>89.622641509433961</v>
      </c>
      <c r="F64" s="189" t="s">
        <v>111</v>
      </c>
    </row>
    <row r="65" spans="1:8" x14ac:dyDescent="0.25">
      <c r="C65" t="s">
        <v>93</v>
      </c>
      <c r="E65" s="17">
        <f>(E64+E63)/2</f>
        <v>88.776837996096276</v>
      </c>
      <c r="F65" s="189">
        <f>E63</f>
        <v>87.931034482758605</v>
      </c>
    </row>
    <row r="66" spans="1:8" x14ac:dyDescent="0.25">
      <c r="A66" t="s">
        <v>91</v>
      </c>
      <c r="E66" s="21">
        <f>IF(E65&gt;100,1,IF(E65&gt;95,0.98+(E65-95)*0.004,IF(E65&gt;90,0.95+(E65-90)*0.006,IF(E65&gt;85,0.91+(E65-85)*0.008,0.91-(85-E65)*0.01))))</f>
        <v>0.94021470396877027</v>
      </c>
      <c r="F66" s="190">
        <f>IF(F65&gt;100,1,IF(F65&gt;95,0.98+(F65-95)*0.004,IF(F65&gt;90,0.95+(F65-90)*0.006,IF(F65&gt;85,0.91+(F65-85)*0.008,0.91-(85-F65)*0.01))))</f>
        <v>0.93344827586206891</v>
      </c>
    </row>
    <row r="67" spans="1:8" x14ac:dyDescent="0.25">
      <c r="A67" t="s">
        <v>123</v>
      </c>
      <c r="E67" s="22">
        <f>D52*E66</f>
        <v>11.282576447625242</v>
      </c>
      <c r="F67" s="23">
        <f>D52*F66</f>
        <v>11.201379310344826</v>
      </c>
    </row>
    <row r="68" spans="1:8" x14ac:dyDescent="0.25">
      <c r="E68" s="19" t="s">
        <v>118</v>
      </c>
      <c r="F68" s="20" t="s">
        <v>119</v>
      </c>
    </row>
    <row r="69" spans="1:8" x14ac:dyDescent="0.25">
      <c r="F69" s="52" t="s">
        <v>153</v>
      </c>
    </row>
    <row r="70" spans="1:8" x14ac:dyDescent="0.25">
      <c r="H70" s="70" t="s">
        <v>181</v>
      </c>
    </row>
    <row r="71" spans="1:8" x14ac:dyDescent="0.25">
      <c r="A71" s="5" t="s">
        <v>210</v>
      </c>
      <c r="C71" t="s">
        <v>121</v>
      </c>
      <c r="E71" s="97" t="s">
        <v>188</v>
      </c>
      <c r="F71" s="97"/>
      <c r="G71" s="97"/>
      <c r="H71" s="70" t="s">
        <v>4</v>
      </c>
    </row>
    <row r="72" spans="1:8" x14ac:dyDescent="0.25">
      <c r="A72" t="s">
        <v>89</v>
      </c>
      <c r="B72" s="5" t="s">
        <v>114</v>
      </c>
      <c r="D72" s="5" t="s">
        <v>124</v>
      </c>
      <c r="H72" s="70" t="s">
        <v>189</v>
      </c>
    </row>
    <row r="73" spans="1:8" x14ac:dyDescent="0.25">
      <c r="A73" t="s">
        <v>9</v>
      </c>
      <c r="B73">
        <v>100</v>
      </c>
      <c r="D73" s="187">
        <v>9.6999999999999993</v>
      </c>
      <c r="E73" s="16" t="s">
        <v>90</v>
      </c>
      <c r="H73" s="80">
        <v>9.6999999999999993</v>
      </c>
    </row>
    <row r="74" spans="1:8" x14ac:dyDescent="0.25">
      <c r="A74" t="s">
        <v>78</v>
      </c>
      <c r="B74">
        <v>31</v>
      </c>
      <c r="D74" s="187">
        <v>3</v>
      </c>
      <c r="E74" s="15">
        <f>D74/D$73*100/B74*100</f>
        <v>99.767209843698041</v>
      </c>
      <c r="H74" s="80">
        <v>3</v>
      </c>
    </row>
    <row r="75" spans="1:8" x14ac:dyDescent="0.25">
      <c r="A75" t="s">
        <v>80</v>
      </c>
      <c r="B75">
        <v>55</v>
      </c>
      <c r="D75" s="187">
        <v>5.0999999999999996</v>
      </c>
      <c r="E75" s="15">
        <f t="shared" ref="E75:E83" si="3">D75/D$73*100/B75*100</f>
        <v>95.595126522961579</v>
      </c>
      <c r="H75" s="80">
        <v>5.4</v>
      </c>
    </row>
    <row r="76" spans="1:8" x14ac:dyDescent="0.25">
      <c r="A76" t="s">
        <v>79</v>
      </c>
      <c r="B76">
        <v>63</v>
      </c>
      <c r="D76" s="187">
        <v>6.1</v>
      </c>
      <c r="E76" s="15">
        <f t="shared" si="3"/>
        <v>99.819996727213208</v>
      </c>
      <c r="H76" s="80">
        <v>6.1</v>
      </c>
    </row>
    <row r="77" spans="1:8" x14ac:dyDescent="0.25">
      <c r="A77" t="s">
        <v>81</v>
      </c>
      <c r="B77">
        <v>20</v>
      </c>
      <c r="D77" s="187">
        <v>1.94</v>
      </c>
      <c r="E77" s="15">
        <f t="shared" si="3"/>
        <v>100</v>
      </c>
      <c r="H77" s="80">
        <v>1.94</v>
      </c>
    </row>
    <row r="78" spans="1:8" x14ac:dyDescent="0.25">
      <c r="A78" t="s">
        <v>82</v>
      </c>
      <c r="B78">
        <v>53</v>
      </c>
      <c r="D78" s="187">
        <v>4.9000000000000004</v>
      </c>
      <c r="E78" s="15">
        <f t="shared" si="3"/>
        <v>95.312196070803367</v>
      </c>
      <c r="H78" s="80">
        <v>4.9000000000000004</v>
      </c>
    </row>
    <row r="79" spans="1:8" x14ac:dyDescent="0.25">
      <c r="A79" t="s">
        <v>83</v>
      </c>
      <c r="B79">
        <v>100</v>
      </c>
      <c r="D79" s="187">
        <v>9.1999999999999993</v>
      </c>
      <c r="E79" s="15">
        <f t="shared" si="3"/>
        <v>94.845360824742258</v>
      </c>
      <c r="H79" s="80">
        <v>9.1999999999999993</v>
      </c>
    </row>
    <row r="80" spans="1:8" x14ac:dyDescent="0.25">
      <c r="A80" t="s">
        <v>84</v>
      </c>
      <c r="B80">
        <v>32</v>
      </c>
      <c r="D80" s="187">
        <v>3</v>
      </c>
      <c r="E80" s="15">
        <f t="shared" si="3"/>
        <v>96.649484536082468</v>
      </c>
      <c r="H80" s="80">
        <v>2.9</v>
      </c>
    </row>
    <row r="81" spans="1:8" x14ac:dyDescent="0.25">
      <c r="A81" t="s">
        <v>85</v>
      </c>
      <c r="B81">
        <v>54</v>
      </c>
      <c r="D81" s="187">
        <v>5.4</v>
      </c>
      <c r="E81" s="15">
        <f t="shared" si="3"/>
        <v>103.09278350515467</v>
      </c>
      <c r="H81" s="80">
        <v>5.2</v>
      </c>
    </row>
    <row r="82" spans="1:8" x14ac:dyDescent="0.25">
      <c r="A82" t="s">
        <v>86</v>
      </c>
      <c r="B82">
        <v>100</v>
      </c>
      <c r="D82" s="187">
        <v>10</v>
      </c>
      <c r="E82" s="15">
        <f t="shared" si="3"/>
        <v>103.09278350515466</v>
      </c>
      <c r="F82" s="188" t="s">
        <v>109</v>
      </c>
      <c r="H82" s="80">
        <v>9.6999999999999993</v>
      </c>
    </row>
    <row r="83" spans="1:8" x14ac:dyDescent="0.25">
      <c r="A83" t="s">
        <v>87</v>
      </c>
      <c r="B83">
        <v>64</v>
      </c>
      <c r="D83" s="187">
        <v>6.2</v>
      </c>
      <c r="E83" s="15">
        <f t="shared" si="3"/>
        <v>99.87113402061857</v>
      </c>
      <c r="F83" s="188" t="s">
        <v>291</v>
      </c>
      <c r="H83" s="80">
        <v>6.2</v>
      </c>
    </row>
    <row r="84" spans="1:8" x14ac:dyDescent="0.25">
      <c r="A84" s="78" t="s">
        <v>88</v>
      </c>
      <c r="B84" s="78">
        <v>145</v>
      </c>
      <c r="C84" s="78" t="s">
        <v>194</v>
      </c>
      <c r="D84" s="97">
        <v>134</v>
      </c>
      <c r="E84" s="17">
        <f>D84/D$73*100/B84*10</f>
        <v>95.271951653039451</v>
      </c>
      <c r="F84" s="189" t="s">
        <v>110</v>
      </c>
      <c r="H84" s="80">
        <v>132</v>
      </c>
    </row>
    <row r="85" spans="1:8" x14ac:dyDescent="0.25">
      <c r="C85" t="s">
        <v>92</v>
      </c>
      <c r="E85" s="17">
        <f>MIN(E74:E83)</f>
        <v>94.845360824742258</v>
      </c>
      <c r="F85" s="189" t="s">
        <v>111</v>
      </c>
      <c r="H85" s="80"/>
    </row>
    <row r="86" spans="1:8" x14ac:dyDescent="0.25">
      <c r="C86" t="s">
        <v>93</v>
      </c>
      <c r="E86" s="17">
        <f>(E85+E84)/2</f>
        <v>95.058656238890848</v>
      </c>
      <c r="F86" s="189">
        <f>E84</f>
        <v>95.271951653039451</v>
      </c>
      <c r="H86" s="70"/>
    </row>
    <row r="87" spans="1:8" x14ac:dyDescent="0.25">
      <c r="A87" t="s">
        <v>91</v>
      </c>
      <c r="E87" s="21">
        <f>IF(E86&gt;100,1,IF(E86&gt;95,0.98+(E86-95)*0.004,IF(E86&gt;90,0.95+(E86-90)*0.006,IF(E86&gt;85,0.91+(E86-85)*0.008,0.91-(85-E86)*0.01))))</f>
        <v>0.98023462495556335</v>
      </c>
      <c r="F87" s="190">
        <f>IF(F86&gt;100,1,IF(F86&gt;95,0.98+(F86-95)*0.004,IF(F86&gt;90,0.95+(F86-90)*0.006,IF(F86&gt;85,0.91+(F86-85)*0.008,0.91-(85-F86)*0.01))))</f>
        <v>0.98108780661215778</v>
      </c>
    </row>
    <row r="88" spans="1:8" x14ac:dyDescent="0.25">
      <c r="A88" t="s">
        <v>123</v>
      </c>
      <c r="E88" s="22">
        <f>D73*E87</f>
        <v>9.5082758620689631</v>
      </c>
      <c r="F88" s="23">
        <f>D73*F87</f>
        <v>9.5165517241379298</v>
      </c>
    </row>
    <row r="89" spans="1:8" x14ac:dyDescent="0.25">
      <c r="E89" s="18" t="s">
        <v>118</v>
      </c>
      <c r="F89" s="20" t="s">
        <v>119</v>
      </c>
    </row>
    <row r="90" spans="1:8" x14ac:dyDescent="0.25">
      <c r="F90" s="52" t="s">
        <v>153</v>
      </c>
    </row>
    <row r="92" spans="1:8" x14ac:dyDescent="0.25">
      <c r="A92" s="52" t="s">
        <v>207</v>
      </c>
      <c r="B92" s="52"/>
      <c r="C92" s="52"/>
      <c r="D92" s="52"/>
      <c r="E92" s="52"/>
      <c r="F92" s="52"/>
      <c r="G92" s="52"/>
      <c r="H92" s="52"/>
    </row>
    <row r="93" spans="1:8" x14ac:dyDescent="0.25">
      <c r="A93" s="52" t="s">
        <v>208</v>
      </c>
      <c r="B93" s="52"/>
      <c r="C93" s="52"/>
      <c r="D93" s="52"/>
      <c r="E93" s="52"/>
      <c r="F93" s="52"/>
      <c r="G93" s="52"/>
      <c r="H93" s="52"/>
    </row>
    <row r="94" spans="1:8" ht="15.75" x14ac:dyDescent="0.25">
      <c r="C94" s="68"/>
      <c r="D94" s="72" t="s">
        <v>209</v>
      </c>
      <c r="E94" s="79"/>
      <c r="F94" s="79"/>
      <c r="G94" s="79"/>
      <c r="H94" s="79"/>
    </row>
    <row r="95" spans="1:8" ht="23.25" customHeight="1" x14ac:dyDescent="0.25">
      <c r="C95" s="68"/>
      <c r="D95" s="86" t="s">
        <v>176</v>
      </c>
      <c r="E95" s="79"/>
      <c r="F95" s="69">
        <v>4521717736</v>
      </c>
      <c r="G95" s="79"/>
      <c r="H95" s="79"/>
    </row>
    <row r="96" spans="1:8" ht="15.75" x14ac:dyDescent="0.25">
      <c r="D96" s="76"/>
      <c r="F96" s="72"/>
    </row>
  </sheetData>
  <sheetProtection algorithmName="SHA-512" hashValue="vAnuMcMrim91+5bFdKddtxlxZ93ObMa/OQ709KlxDYDBrGLDcnZBSedHUCyjcRwMJUdUSa7kuhQUMp++PJbeQg==" saltValue="1huHJBO+LLZMFZxROLc4yg==" spinCount="100000" sheet="1" objects="1" scenarios="1"/>
  <hyperlinks>
    <hyperlink ref="D95" r:id="rId1" xr:uid="{C09167DB-C7CB-4087-93E7-8427B805DD50}"/>
  </hyperlinks>
  <pageMargins left="0.70866141732283472" right="0.70866141732283472" top="0.74803149606299213" bottom="0.74803149606299213" header="0.31496062992125984" footer="0.31496062992125984"/>
  <pageSetup paperSize="9" scale="10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F07A-B7AC-4798-AD75-2B0FF62C17BE}">
  <dimension ref="A1:N96"/>
  <sheetViews>
    <sheetView zoomScale="148" zoomScaleNormal="148" workbookViewId="0">
      <selection activeCell="M15" sqref="M15"/>
    </sheetView>
  </sheetViews>
  <sheetFormatPr defaultRowHeight="15" x14ac:dyDescent="0.25"/>
  <cols>
    <col min="1" max="1" width="11.140625" customWidth="1"/>
    <col min="3" max="3" width="11.140625" customWidth="1"/>
    <col min="4" max="4" width="12" customWidth="1"/>
    <col min="6" max="6" width="15.42578125" customWidth="1"/>
  </cols>
  <sheetData>
    <row r="1" spans="1:10" x14ac:dyDescent="0.25">
      <c r="A1" s="75" t="s">
        <v>298</v>
      </c>
      <c r="B1" s="70"/>
      <c r="C1" s="70"/>
      <c r="D1" s="70"/>
      <c r="E1" s="70"/>
      <c r="F1" s="70"/>
      <c r="G1" s="70"/>
    </row>
    <row r="2" spans="1:10" x14ac:dyDescent="0.25">
      <c r="A2" s="75" t="s">
        <v>297</v>
      </c>
      <c r="B2" s="70"/>
      <c r="C2" s="70"/>
      <c r="D2" s="70"/>
      <c r="E2" s="70"/>
      <c r="F2" s="70"/>
      <c r="G2" s="70"/>
    </row>
    <row r="3" spans="1:10" x14ac:dyDescent="0.25">
      <c r="A3" s="5"/>
    </row>
    <row r="4" spans="1:10" x14ac:dyDescent="0.25">
      <c r="A4" s="5" t="s">
        <v>204</v>
      </c>
    </row>
    <row r="5" spans="1:10" x14ac:dyDescent="0.25">
      <c r="A5" s="194" t="s">
        <v>155</v>
      </c>
      <c r="B5" s="111"/>
      <c r="C5" s="111"/>
    </row>
    <row r="6" spans="1:10" x14ac:dyDescent="0.25">
      <c r="G6" s="70" t="s">
        <v>181</v>
      </c>
    </row>
    <row r="7" spans="1:10" x14ac:dyDescent="0.25">
      <c r="A7" s="5" t="s">
        <v>196</v>
      </c>
      <c r="C7" t="s">
        <v>112</v>
      </c>
      <c r="E7" s="97" t="s">
        <v>292</v>
      </c>
      <c r="F7" s="97"/>
      <c r="G7" s="191" t="s">
        <v>4</v>
      </c>
    </row>
    <row r="8" spans="1:10" x14ac:dyDescent="0.25">
      <c r="A8" t="s">
        <v>89</v>
      </c>
      <c r="B8" s="5" t="s">
        <v>115</v>
      </c>
      <c r="D8" s="5" t="s">
        <v>124</v>
      </c>
      <c r="G8" s="80" t="s">
        <v>195</v>
      </c>
    </row>
    <row r="9" spans="1:10" x14ac:dyDescent="0.25">
      <c r="A9" t="s">
        <v>9</v>
      </c>
      <c r="B9">
        <v>100</v>
      </c>
      <c r="D9" s="99">
        <v>9.1999999999999993</v>
      </c>
      <c r="E9" s="82" t="s">
        <v>90</v>
      </c>
      <c r="G9" s="191">
        <v>9.1999999999999993</v>
      </c>
    </row>
    <row r="10" spans="1:10" x14ac:dyDescent="0.25">
      <c r="A10" t="s">
        <v>78</v>
      </c>
      <c r="B10">
        <v>30.5</v>
      </c>
      <c r="D10" s="99">
        <v>2.8</v>
      </c>
      <c r="E10" s="15">
        <f t="shared" ref="E10:E19" si="0">D10/D$9*100/B10*100</f>
        <v>99.786172487526741</v>
      </c>
      <c r="G10" s="191">
        <v>2.8</v>
      </c>
      <c r="J10" s="1"/>
    </row>
    <row r="11" spans="1:10" x14ac:dyDescent="0.25">
      <c r="A11" t="s">
        <v>80</v>
      </c>
      <c r="B11">
        <v>56</v>
      </c>
      <c r="D11" s="99">
        <v>5.2</v>
      </c>
      <c r="E11" s="15">
        <f t="shared" si="0"/>
        <v>100.93167701863355</v>
      </c>
      <c r="G11" s="191">
        <v>5.2</v>
      </c>
      <c r="J11" s="1"/>
    </row>
    <row r="12" spans="1:10" x14ac:dyDescent="0.25">
      <c r="A12" t="s">
        <v>79</v>
      </c>
      <c r="B12">
        <v>64</v>
      </c>
      <c r="D12" s="99">
        <v>5.9</v>
      </c>
      <c r="E12" s="15">
        <f t="shared" si="0"/>
        <v>100.20380434782609</v>
      </c>
      <c r="G12" s="191">
        <v>5.9</v>
      </c>
      <c r="J12" s="1"/>
    </row>
    <row r="13" spans="1:10" x14ac:dyDescent="0.25">
      <c r="A13" t="s">
        <v>81</v>
      </c>
      <c r="B13">
        <v>20</v>
      </c>
      <c r="D13" s="99">
        <v>1.84</v>
      </c>
      <c r="E13" s="15">
        <f t="shared" si="0"/>
        <v>100</v>
      </c>
      <c r="G13" s="191">
        <v>1.84</v>
      </c>
      <c r="J13" s="1"/>
    </row>
    <row r="14" spans="1:10" x14ac:dyDescent="0.25">
      <c r="A14" t="s">
        <v>82</v>
      </c>
      <c r="B14">
        <v>53</v>
      </c>
      <c r="D14" s="99">
        <v>4.7</v>
      </c>
      <c r="E14" s="15">
        <f t="shared" si="0"/>
        <v>96.390484003281387</v>
      </c>
      <c r="G14" s="191">
        <v>4.7</v>
      </c>
      <c r="J14" s="1"/>
    </row>
    <row r="15" spans="1:10" x14ac:dyDescent="0.25">
      <c r="A15" t="s">
        <v>83</v>
      </c>
      <c r="B15">
        <v>100</v>
      </c>
      <c r="D15" s="99">
        <v>8.8000000000000007</v>
      </c>
      <c r="E15" s="15">
        <f t="shared" si="0"/>
        <v>95.652173913043498</v>
      </c>
      <c r="G15" s="191">
        <v>8.8000000000000007</v>
      </c>
      <c r="J15" s="1"/>
    </row>
    <row r="16" spans="1:10" x14ac:dyDescent="0.25">
      <c r="A16" t="s">
        <v>84</v>
      </c>
      <c r="B16">
        <v>32</v>
      </c>
      <c r="D16" s="99">
        <v>2.8</v>
      </c>
      <c r="E16" s="15">
        <f t="shared" si="0"/>
        <v>95.108695652173921</v>
      </c>
      <c r="G16" s="191">
        <v>2.8</v>
      </c>
      <c r="J16" s="1"/>
    </row>
    <row r="17" spans="1:14" x14ac:dyDescent="0.25">
      <c r="A17" t="s">
        <v>85</v>
      </c>
      <c r="B17">
        <v>54</v>
      </c>
      <c r="D17" s="99">
        <v>5</v>
      </c>
      <c r="E17" s="15">
        <f t="shared" si="0"/>
        <v>100.64412238325285</v>
      </c>
      <c r="G17" s="191">
        <v>5</v>
      </c>
      <c r="J17" s="1"/>
    </row>
    <row r="18" spans="1:14" x14ac:dyDescent="0.25">
      <c r="A18" t="s">
        <v>86</v>
      </c>
      <c r="B18">
        <v>100</v>
      </c>
      <c r="D18" s="99">
        <v>9.1999999999999993</v>
      </c>
      <c r="E18" s="15">
        <f t="shared" si="0"/>
        <v>100</v>
      </c>
      <c r="F18" s="188" t="s">
        <v>109</v>
      </c>
      <c r="G18" s="191">
        <v>9.1999999999999993</v>
      </c>
      <c r="J18" s="1"/>
    </row>
    <row r="19" spans="1:14" x14ac:dyDescent="0.25">
      <c r="A19" t="s">
        <v>87</v>
      </c>
      <c r="B19">
        <v>65</v>
      </c>
      <c r="D19" s="99">
        <v>5.9</v>
      </c>
      <c r="E19" s="15">
        <f t="shared" si="0"/>
        <v>98.662207357859543</v>
      </c>
      <c r="F19" s="188" t="s">
        <v>117</v>
      </c>
      <c r="G19" s="191">
        <v>5.9</v>
      </c>
      <c r="J19" s="1"/>
    </row>
    <row r="20" spans="1:14" x14ac:dyDescent="0.25">
      <c r="A20" s="78" t="s">
        <v>88</v>
      </c>
      <c r="B20" s="78">
        <v>145</v>
      </c>
      <c r="C20" s="78" t="s">
        <v>194</v>
      </c>
      <c r="D20" s="99">
        <v>129</v>
      </c>
      <c r="E20" s="17">
        <f>D20/D$9*100/B20*10</f>
        <v>96.701649175412285</v>
      </c>
      <c r="F20" s="189" t="s">
        <v>110</v>
      </c>
      <c r="G20" s="80">
        <v>129</v>
      </c>
      <c r="J20" s="1"/>
      <c r="K20" s="1"/>
    </row>
    <row r="21" spans="1:14" x14ac:dyDescent="0.25">
      <c r="C21" t="s">
        <v>92</v>
      </c>
      <c r="E21" s="17">
        <f>MIN(E10:E19)</f>
        <v>95.108695652173921</v>
      </c>
      <c r="F21" s="189" t="s">
        <v>111</v>
      </c>
      <c r="J21" s="1"/>
      <c r="K21" s="1"/>
    </row>
    <row r="22" spans="1:14" x14ac:dyDescent="0.25">
      <c r="C22" t="s">
        <v>93</v>
      </c>
      <c r="E22" s="17">
        <f>(E21+E20)/2</f>
        <v>95.90517241379311</v>
      </c>
      <c r="F22" s="189">
        <f>E20</f>
        <v>96.701649175412285</v>
      </c>
      <c r="J22" s="1"/>
      <c r="K22" s="1"/>
    </row>
    <row r="23" spans="1:14" x14ac:dyDescent="0.25">
      <c r="A23" t="s">
        <v>91</v>
      </c>
      <c r="E23" s="21">
        <f>IF(E22&gt;100,1,IF(E22&gt;95,0.98+(E22-95)*0.004,IF(E22&gt;90,0.95+(E22-90)*0.006,IF(E22&gt;85,0.91+(E22-85)*0.008,0.91-(85-E22)*0.01))))</f>
        <v>0.98362068965517246</v>
      </c>
      <c r="F23" s="190">
        <f>IF(F22&gt;100,1,IF(F22&gt;95,0.98+(F22-95)*0.004,IF(F22&gt;90,0.95+(F22-90)*0.006,IF(F22&gt;85,0.91+(F22-85)*0.008,0.91-(85-F22)*0.01))))</f>
        <v>0.98680659670164916</v>
      </c>
      <c r="J23" s="2"/>
      <c r="K23" s="2"/>
    </row>
    <row r="24" spans="1:14" x14ac:dyDescent="0.25">
      <c r="A24" t="s">
        <v>123</v>
      </c>
      <c r="E24" s="22">
        <f>D9*E23</f>
        <v>9.0493103448275853</v>
      </c>
      <c r="F24" s="23">
        <f>D9*F23</f>
        <v>9.0786206896551711</v>
      </c>
      <c r="J24" s="1"/>
      <c r="K24" s="1"/>
    </row>
    <row r="25" spans="1:14" x14ac:dyDescent="0.25">
      <c r="E25" s="18" t="s">
        <v>118</v>
      </c>
      <c r="F25" s="20" t="s">
        <v>119</v>
      </c>
      <c r="J25" s="1"/>
      <c r="K25" s="1"/>
      <c r="N25" s="65"/>
    </row>
    <row r="26" spans="1:14" x14ac:dyDescent="0.25">
      <c r="F26" s="52" t="s">
        <v>153</v>
      </c>
    </row>
    <row r="27" spans="1:14" x14ac:dyDescent="0.25">
      <c r="G27" s="80" t="s">
        <v>181</v>
      </c>
    </row>
    <row r="28" spans="1:14" x14ac:dyDescent="0.25">
      <c r="A28" s="5" t="s">
        <v>197</v>
      </c>
      <c r="C28" t="s">
        <v>116</v>
      </c>
      <c r="E28" s="97" t="s">
        <v>199</v>
      </c>
      <c r="F28" s="97"/>
      <c r="G28" s="191" t="s">
        <v>4</v>
      </c>
      <c r="N28" s="73"/>
    </row>
    <row r="29" spans="1:14" x14ac:dyDescent="0.25">
      <c r="A29" t="s">
        <v>89</v>
      </c>
      <c r="B29" s="5" t="s">
        <v>114</v>
      </c>
      <c r="D29" s="5" t="s">
        <v>124</v>
      </c>
      <c r="G29" s="80" t="s">
        <v>198</v>
      </c>
      <c r="N29" s="73"/>
    </row>
    <row r="30" spans="1:14" x14ac:dyDescent="0.25">
      <c r="A30" t="s">
        <v>9</v>
      </c>
      <c r="B30">
        <v>100</v>
      </c>
      <c r="D30" s="99">
        <v>8.1999999999999993</v>
      </c>
      <c r="E30" s="82" t="s">
        <v>90</v>
      </c>
      <c r="G30" s="191">
        <v>8.1999999999999993</v>
      </c>
      <c r="N30" s="73"/>
    </row>
    <row r="31" spans="1:14" x14ac:dyDescent="0.25">
      <c r="A31" t="s">
        <v>78</v>
      </c>
      <c r="B31">
        <v>30</v>
      </c>
      <c r="D31" s="99">
        <v>2.5</v>
      </c>
      <c r="E31" s="14">
        <f t="shared" ref="E31:E40" si="1">D31/D$30*100/B31*100</f>
        <v>101.62601626016261</v>
      </c>
      <c r="G31" s="191">
        <v>2.5</v>
      </c>
      <c r="N31" s="73"/>
    </row>
    <row r="32" spans="1:14" x14ac:dyDescent="0.25">
      <c r="A32" t="s">
        <v>80</v>
      </c>
      <c r="B32">
        <v>58</v>
      </c>
      <c r="D32" s="99">
        <v>4.7</v>
      </c>
      <c r="E32" s="14">
        <f t="shared" si="1"/>
        <v>98.822539949537443</v>
      </c>
      <c r="G32" s="191">
        <v>4.7</v>
      </c>
      <c r="N32" s="73"/>
    </row>
    <row r="33" spans="1:14" x14ac:dyDescent="0.25">
      <c r="A33" t="s">
        <v>79</v>
      </c>
      <c r="B33">
        <v>66</v>
      </c>
      <c r="D33" s="99">
        <v>5.4</v>
      </c>
      <c r="E33" s="14">
        <f t="shared" si="1"/>
        <v>99.778270509977858</v>
      </c>
      <c r="G33" s="191">
        <v>5.4</v>
      </c>
      <c r="N33" s="73"/>
    </row>
    <row r="34" spans="1:14" x14ac:dyDescent="0.25">
      <c r="A34" t="s">
        <v>81</v>
      </c>
      <c r="B34">
        <v>20</v>
      </c>
      <c r="D34" s="99">
        <v>1.64</v>
      </c>
      <c r="E34" s="14">
        <f t="shared" si="1"/>
        <v>100</v>
      </c>
      <c r="G34" s="191">
        <v>1.64</v>
      </c>
      <c r="N34" s="73"/>
    </row>
    <row r="35" spans="1:14" x14ac:dyDescent="0.25">
      <c r="A35" t="s">
        <v>82</v>
      </c>
      <c r="B35">
        <v>53</v>
      </c>
      <c r="D35" s="99">
        <v>4.3</v>
      </c>
      <c r="E35" s="14">
        <f t="shared" si="1"/>
        <v>98.941555453290377</v>
      </c>
      <c r="G35" s="191">
        <v>4.3</v>
      </c>
      <c r="N35" s="73"/>
    </row>
    <row r="36" spans="1:14" x14ac:dyDescent="0.25">
      <c r="A36" t="s">
        <v>83</v>
      </c>
      <c r="B36">
        <v>100</v>
      </c>
      <c r="D36" s="99">
        <v>8.1999999999999993</v>
      </c>
      <c r="E36" s="14">
        <f t="shared" si="1"/>
        <v>100</v>
      </c>
      <c r="G36" s="191">
        <v>8.1999999999999993</v>
      </c>
      <c r="N36" s="73"/>
    </row>
    <row r="37" spans="1:14" x14ac:dyDescent="0.25">
      <c r="A37" t="s">
        <v>84</v>
      </c>
      <c r="B37">
        <v>32</v>
      </c>
      <c r="D37" s="99">
        <v>2.6</v>
      </c>
      <c r="E37" s="14">
        <f t="shared" si="1"/>
        <v>99.085365853658558</v>
      </c>
      <c r="G37" s="191">
        <v>2.6</v>
      </c>
      <c r="N37" s="73"/>
    </row>
    <row r="38" spans="1:14" x14ac:dyDescent="0.25">
      <c r="A38" t="s">
        <v>85</v>
      </c>
      <c r="B38">
        <v>54</v>
      </c>
      <c r="D38" s="99">
        <v>4.4000000000000004</v>
      </c>
      <c r="E38" s="14">
        <f t="shared" si="1"/>
        <v>99.367660343270131</v>
      </c>
      <c r="G38" s="191">
        <v>4.4000000000000004</v>
      </c>
      <c r="N38" s="73"/>
    </row>
    <row r="39" spans="1:14" x14ac:dyDescent="0.25">
      <c r="A39" t="s">
        <v>86</v>
      </c>
      <c r="B39">
        <v>100</v>
      </c>
      <c r="D39" s="99">
        <v>8.1999999999999993</v>
      </c>
      <c r="E39" s="14">
        <f t="shared" si="1"/>
        <v>100</v>
      </c>
      <c r="F39" s="188" t="s">
        <v>109</v>
      </c>
      <c r="G39" s="191">
        <v>8.1999999999999993</v>
      </c>
    </row>
    <row r="40" spans="1:14" x14ac:dyDescent="0.25">
      <c r="A40" t="s">
        <v>87</v>
      </c>
      <c r="B40">
        <v>64</v>
      </c>
      <c r="D40" s="99">
        <v>5.2</v>
      </c>
      <c r="E40" s="14">
        <f t="shared" si="1"/>
        <v>99.085365853658558</v>
      </c>
      <c r="F40" s="188" t="s">
        <v>117</v>
      </c>
      <c r="G40" s="191">
        <v>5.2</v>
      </c>
    </row>
    <row r="41" spans="1:14" x14ac:dyDescent="0.25">
      <c r="A41" s="78" t="s">
        <v>88</v>
      </c>
      <c r="B41" s="78">
        <v>145</v>
      </c>
      <c r="C41" s="78" t="s">
        <v>194</v>
      </c>
      <c r="D41" s="99">
        <v>120</v>
      </c>
      <c r="E41" s="10">
        <f>D41/D$30*100/B41*10</f>
        <v>100.92514718250632</v>
      </c>
      <c r="F41" s="189" t="s">
        <v>110</v>
      </c>
      <c r="G41" s="80">
        <v>120</v>
      </c>
    </row>
    <row r="42" spans="1:14" x14ac:dyDescent="0.25">
      <c r="C42" t="s">
        <v>92</v>
      </c>
      <c r="E42" s="10">
        <f>MIN(E31:E40)</f>
        <v>98.822539949537443</v>
      </c>
      <c r="F42" s="189" t="s">
        <v>111</v>
      </c>
    </row>
    <row r="43" spans="1:14" x14ac:dyDescent="0.25">
      <c r="C43" t="s">
        <v>93</v>
      </c>
      <c r="E43" s="10">
        <f>(E42+E41)/2</f>
        <v>99.87384356602189</v>
      </c>
      <c r="F43" s="189">
        <f>E41</f>
        <v>100.92514718250632</v>
      </c>
    </row>
    <row r="44" spans="1:14" x14ac:dyDescent="0.25">
      <c r="A44" t="s">
        <v>91</v>
      </c>
      <c r="E44" s="24">
        <f>IF(E43&gt;100,1,IF(E43&gt;95,0.98+(E43-95)*0.004,IF(E43&gt;90,0.95+(E43-90)*0.006,IF(E43&gt;85,0.91+(E43-85)*0.008,0.91-(85-E43)*0.01))))</f>
        <v>0.99949537426408752</v>
      </c>
      <c r="F44" s="190">
        <f>IF(F43&gt;100,1,IF(F43&gt;95,0.98+(F43-95)*0.004,IF(F43&gt;90,0.95+(F43-90)*0.006,IF(F43&gt;85,0.91+(F43-85)*0.008,0.91-(85-F43)*0.01))))</f>
        <v>1</v>
      </c>
    </row>
    <row r="45" spans="1:14" x14ac:dyDescent="0.25">
      <c r="A45" t="s">
        <v>123</v>
      </c>
      <c r="E45" s="25">
        <f>D30*E44</f>
        <v>8.1958620689655177</v>
      </c>
      <c r="F45" s="23">
        <f>D30*F44</f>
        <v>8.1999999999999993</v>
      </c>
    </row>
    <row r="46" spans="1:14" x14ac:dyDescent="0.25">
      <c r="E46" s="19" t="s">
        <v>118</v>
      </c>
      <c r="F46" s="20" t="s">
        <v>119</v>
      </c>
    </row>
    <row r="47" spans="1:14" x14ac:dyDescent="0.25">
      <c r="F47" s="52" t="s">
        <v>153</v>
      </c>
    </row>
    <row r="49" spans="1:7" x14ac:dyDescent="0.25">
      <c r="G49" s="80" t="s">
        <v>181</v>
      </c>
    </row>
    <row r="50" spans="1:7" x14ac:dyDescent="0.25">
      <c r="A50" s="5" t="s">
        <v>202</v>
      </c>
      <c r="C50" t="s">
        <v>120</v>
      </c>
      <c r="E50" s="97" t="s">
        <v>200</v>
      </c>
      <c r="F50" s="97"/>
      <c r="G50" s="191" t="s">
        <v>4</v>
      </c>
    </row>
    <row r="51" spans="1:7" x14ac:dyDescent="0.25">
      <c r="A51" t="s">
        <v>89</v>
      </c>
      <c r="B51" s="5" t="s">
        <v>114</v>
      </c>
      <c r="D51" s="5" t="s">
        <v>124</v>
      </c>
      <c r="G51" s="80" t="s">
        <v>198</v>
      </c>
    </row>
    <row r="52" spans="1:7" x14ac:dyDescent="0.25">
      <c r="A52" t="s">
        <v>9</v>
      </c>
      <c r="B52">
        <v>100</v>
      </c>
      <c r="D52" s="97">
        <v>8.1999999999999993</v>
      </c>
      <c r="E52" s="82" t="s">
        <v>90</v>
      </c>
      <c r="G52" s="191">
        <v>8.1999999999999993</v>
      </c>
    </row>
    <row r="53" spans="1:7" x14ac:dyDescent="0.25">
      <c r="A53" t="s">
        <v>78</v>
      </c>
      <c r="B53">
        <v>30</v>
      </c>
      <c r="D53" s="97">
        <v>2.5</v>
      </c>
      <c r="E53" s="14">
        <f>D53/D$52*100/B53*100</f>
        <v>101.62601626016261</v>
      </c>
      <c r="G53" s="191">
        <v>2.5</v>
      </c>
    </row>
    <row r="54" spans="1:7" x14ac:dyDescent="0.25">
      <c r="A54" t="s">
        <v>80</v>
      </c>
      <c r="B54">
        <v>58</v>
      </c>
      <c r="D54" s="97">
        <v>4.7</v>
      </c>
      <c r="E54" s="14">
        <f t="shared" ref="E54:E62" si="2">D54/D$52*100/B54*100</f>
        <v>98.822539949537443</v>
      </c>
      <c r="G54" s="191">
        <v>4.7</v>
      </c>
    </row>
    <row r="55" spans="1:7" x14ac:dyDescent="0.25">
      <c r="A55" t="s">
        <v>79</v>
      </c>
      <c r="B55">
        <v>66</v>
      </c>
      <c r="D55" s="97">
        <v>5.4</v>
      </c>
      <c r="E55" s="14">
        <f t="shared" si="2"/>
        <v>99.778270509977858</v>
      </c>
      <c r="G55" s="191">
        <v>5.4</v>
      </c>
    </row>
    <row r="56" spans="1:7" x14ac:dyDescent="0.25">
      <c r="A56" t="s">
        <v>81</v>
      </c>
      <c r="B56">
        <v>20</v>
      </c>
      <c r="D56" s="97">
        <v>1.5</v>
      </c>
      <c r="E56" s="14">
        <f t="shared" si="2"/>
        <v>91.463414634146361</v>
      </c>
      <c r="G56" s="191">
        <v>1.64</v>
      </c>
    </row>
    <row r="57" spans="1:7" x14ac:dyDescent="0.25">
      <c r="A57" t="s">
        <v>82</v>
      </c>
      <c r="B57">
        <v>53</v>
      </c>
      <c r="D57" s="97">
        <v>4</v>
      </c>
      <c r="E57" s="14">
        <f t="shared" si="2"/>
        <v>92.038656235618973</v>
      </c>
      <c r="G57" s="191">
        <v>4.3</v>
      </c>
    </row>
    <row r="58" spans="1:7" x14ac:dyDescent="0.25">
      <c r="A58" t="s">
        <v>83</v>
      </c>
      <c r="B58">
        <v>100</v>
      </c>
      <c r="D58" s="97">
        <v>7.6</v>
      </c>
      <c r="E58" s="14">
        <f t="shared" si="2"/>
        <v>92.682926829268297</v>
      </c>
      <c r="G58" s="191">
        <v>8.1999999999999993</v>
      </c>
    </row>
    <row r="59" spans="1:7" x14ac:dyDescent="0.25">
      <c r="A59" t="s">
        <v>84</v>
      </c>
      <c r="B59">
        <v>32</v>
      </c>
      <c r="D59" s="97">
        <v>2.6</v>
      </c>
      <c r="E59" s="14">
        <f t="shared" si="2"/>
        <v>99.085365853658558</v>
      </c>
      <c r="G59" s="191">
        <v>2.6</v>
      </c>
    </row>
    <row r="60" spans="1:7" x14ac:dyDescent="0.25">
      <c r="A60" t="s">
        <v>85</v>
      </c>
      <c r="B60">
        <v>54</v>
      </c>
      <c r="D60" s="97">
        <v>5</v>
      </c>
      <c r="E60" s="14">
        <f t="shared" si="2"/>
        <v>112.91779584462513</v>
      </c>
      <c r="G60" s="191">
        <v>4.4000000000000004</v>
      </c>
    </row>
    <row r="61" spans="1:7" x14ac:dyDescent="0.25">
      <c r="A61" t="s">
        <v>86</v>
      </c>
      <c r="B61">
        <v>100</v>
      </c>
      <c r="D61" s="97">
        <v>8</v>
      </c>
      <c r="E61" s="14">
        <f t="shared" si="2"/>
        <v>97.560975609756113</v>
      </c>
      <c r="F61" s="188" t="s">
        <v>109</v>
      </c>
      <c r="G61" s="191">
        <v>8.1999999999999993</v>
      </c>
    </row>
    <row r="62" spans="1:7" x14ac:dyDescent="0.25">
      <c r="A62" t="s">
        <v>87</v>
      </c>
      <c r="B62">
        <v>64</v>
      </c>
      <c r="D62" s="97">
        <v>4.9000000000000004</v>
      </c>
      <c r="E62" s="14">
        <f t="shared" si="2"/>
        <v>93.36890243902441</v>
      </c>
      <c r="F62" s="188" t="s">
        <v>117</v>
      </c>
      <c r="G62" s="191">
        <v>5.2</v>
      </c>
    </row>
    <row r="63" spans="1:7" x14ac:dyDescent="0.25">
      <c r="A63" s="78" t="s">
        <v>88</v>
      </c>
      <c r="B63" s="78">
        <v>145</v>
      </c>
      <c r="C63" s="78" t="s">
        <v>194</v>
      </c>
      <c r="D63" s="97">
        <v>110</v>
      </c>
      <c r="E63" s="10">
        <f>D63/D$52*100/B63*10</f>
        <v>92.514718250630779</v>
      </c>
      <c r="F63" s="189" t="s">
        <v>110</v>
      </c>
      <c r="G63" s="80">
        <v>120</v>
      </c>
    </row>
    <row r="64" spans="1:7" x14ac:dyDescent="0.25">
      <c r="C64" t="s">
        <v>92</v>
      </c>
      <c r="E64" s="10">
        <f>MIN(E53:E62)</f>
        <v>91.463414634146361</v>
      </c>
      <c r="F64" s="189" t="s">
        <v>111</v>
      </c>
      <c r="G64" s="73"/>
    </row>
    <row r="65" spans="1:7" x14ac:dyDescent="0.25">
      <c r="C65" t="s">
        <v>93</v>
      </c>
      <c r="E65" s="10">
        <f>(E64+E63)/2</f>
        <v>91.989066442388577</v>
      </c>
      <c r="F65" s="189">
        <f>E63</f>
        <v>92.514718250630779</v>
      </c>
      <c r="G65" s="73"/>
    </row>
    <row r="66" spans="1:7" x14ac:dyDescent="0.25">
      <c r="A66" t="s">
        <v>91</v>
      </c>
      <c r="E66" s="24">
        <f>IF(E65&gt;100,1,IF(E65&gt;95,0.98+(E65-95)*0.004,IF(E65&gt;90,0.95+(E65-90)*0.006,IF(E65&gt;85,0.91+(E65-85)*0.008,0.91-(85-E65)*0.01))))</f>
        <v>0.96193439865433139</v>
      </c>
      <c r="F66" s="190">
        <f>IF(F65&gt;100,1,IF(F65&gt;95,0.98+(F65-95)*0.004,IF(F65&gt;90,0.95+(F65-90)*0.006,IF(F65&gt;85,0.91+(F65-85)*0.008,0.91-(85-F65)*0.01))))</f>
        <v>0.96508830950378466</v>
      </c>
    </row>
    <row r="67" spans="1:7" x14ac:dyDescent="0.25">
      <c r="A67" t="s">
        <v>123</v>
      </c>
      <c r="E67" s="26">
        <f>D52*E66</f>
        <v>7.887862068965517</v>
      </c>
      <c r="F67" s="23">
        <f>D52*F66</f>
        <v>7.9137241379310339</v>
      </c>
    </row>
    <row r="68" spans="1:7" x14ac:dyDescent="0.25">
      <c r="E68" s="19" t="s">
        <v>118</v>
      </c>
      <c r="F68" s="20" t="s">
        <v>119</v>
      </c>
    </row>
    <row r="69" spans="1:7" x14ac:dyDescent="0.25">
      <c r="F69" s="52" t="s">
        <v>153</v>
      </c>
    </row>
    <row r="70" spans="1:7" x14ac:dyDescent="0.25">
      <c r="G70" s="80" t="s">
        <v>181</v>
      </c>
    </row>
    <row r="71" spans="1:7" x14ac:dyDescent="0.25">
      <c r="A71" s="5" t="s">
        <v>203</v>
      </c>
      <c r="C71" t="s">
        <v>121</v>
      </c>
      <c r="E71" s="111"/>
      <c r="F71" s="111"/>
      <c r="G71" s="191" t="s">
        <v>4</v>
      </c>
    </row>
    <row r="72" spans="1:7" x14ac:dyDescent="0.25">
      <c r="A72" t="s">
        <v>89</v>
      </c>
      <c r="B72" s="5" t="s">
        <v>114</v>
      </c>
      <c r="D72" s="5" t="s">
        <v>124</v>
      </c>
      <c r="G72" s="80" t="s">
        <v>201</v>
      </c>
    </row>
    <row r="73" spans="1:7" x14ac:dyDescent="0.25">
      <c r="A73" t="s">
        <v>9</v>
      </c>
      <c r="B73">
        <v>100</v>
      </c>
      <c r="D73" s="99">
        <v>7.1</v>
      </c>
      <c r="E73" s="82" t="s">
        <v>90</v>
      </c>
      <c r="G73" s="191">
        <v>7.1</v>
      </c>
    </row>
    <row r="74" spans="1:7" x14ac:dyDescent="0.25">
      <c r="A74" t="s">
        <v>78</v>
      </c>
      <c r="B74">
        <v>30</v>
      </c>
      <c r="D74" s="99">
        <v>2.1</v>
      </c>
      <c r="E74" s="15">
        <f>D74/D$73*100/B74*100</f>
        <v>98.591549295774655</v>
      </c>
      <c r="G74" s="191">
        <v>2.1</v>
      </c>
    </row>
    <row r="75" spans="1:7" x14ac:dyDescent="0.25">
      <c r="A75" t="s">
        <v>80</v>
      </c>
      <c r="B75">
        <v>60</v>
      </c>
      <c r="D75" s="99">
        <v>4.3</v>
      </c>
      <c r="E75" s="15">
        <f t="shared" ref="E75:E83" si="3">D75/D$73*100/B75*100</f>
        <v>100.93896713615023</v>
      </c>
      <c r="G75" s="191">
        <v>4.3</v>
      </c>
    </row>
    <row r="76" spans="1:7" x14ac:dyDescent="0.25">
      <c r="A76" t="s">
        <v>79</v>
      </c>
      <c r="B76">
        <v>67</v>
      </c>
      <c r="D76" s="99">
        <v>4.8</v>
      </c>
      <c r="E76" s="15">
        <f t="shared" si="3"/>
        <v>100.90393104898044</v>
      </c>
      <c r="G76" s="191">
        <v>4.8</v>
      </c>
    </row>
    <row r="77" spans="1:7" x14ac:dyDescent="0.25">
      <c r="A77" t="s">
        <v>81</v>
      </c>
      <c r="B77">
        <v>20</v>
      </c>
      <c r="D77" s="99">
        <v>1.42</v>
      </c>
      <c r="E77" s="15">
        <f t="shared" si="3"/>
        <v>100</v>
      </c>
      <c r="G77" s="191">
        <v>1.42</v>
      </c>
    </row>
    <row r="78" spans="1:7" x14ac:dyDescent="0.25">
      <c r="A78" t="s">
        <v>82</v>
      </c>
      <c r="B78">
        <v>53</v>
      </c>
      <c r="D78" s="99">
        <v>3.8</v>
      </c>
      <c r="E78" s="15">
        <f t="shared" si="3"/>
        <v>100.98325803879882</v>
      </c>
      <c r="G78" s="191">
        <v>3.8</v>
      </c>
    </row>
    <row r="79" spans="1:7" x14ac:dyDescent="0.25">
      <c r="A79" t="s">
        <v>83</v>
      </c>
      <c r="B79">
        <v>100</v>
      </c>
      <c r="D79" s="99">
        <v>7.1</v>
      </c>
      <c r="E79" s="15">
        <f t="shared" si="3"/>
        <v>100</v>
      </c>
      <c r="G79" s="191">
        <v>7.1</v>
      </c>
    </row>
    <row r="80" spans="1:7" x14ac:dyDescent="0.25">
      <c r="A80" t="s">
        <v>84</v>
      </c>
      <c r="B80">
        <v>32</v>
      </c>
      <c r="D80" s="99">
        <v>2.2999999999999998</v>
      </c>
      <c r="E80" s="15">
        <f t="shared" si="3"/>
        <v>101.2323943661972</v>
      </c>
      <c r="G80" s="191">
        <v>2.2999999999999998</v>
      </c>
    </row>
    <row r="81" spans="1:8" x14ac:dyDescent="0.25">
      <c r="A81" t="s">
        <v>85</v>
      </c>
      <c r="B81">
        <v>54</v>
      </c>
      <c r="D81" s="99">
        <v>3.8</v>
      </c>
      <c r="E81" s="15">
        <f t="shared" si="3"/>
        <v>99.113197704746995</v>
      </c>
      <c r="G81" s="191">
        <v>3.8</v>
      </c>
    </row>
    <row r="82" spans="1:8" x14ac:dyDescent="0.25">
      <c r="A82" t="s">
        <v>86</v>
      </c>
      <c r="B82">
        <v>100</v>
      </c>
      <c r="D82" s="99">
        <v>7.1</v>
      </c>
      <c r="E82" s="15">
        <f t="shared" si="3"/>
        <v>100</v>
      </c>
      <c r="F82" s="188" t="s">
        <v>109</v>
      </c>
      <c r="G82" s="191">
        <v>7.1</v>
      </c>
    </row>
    <row r="83" spans="1:8" x14ac:dyDescent="0.25">
      <c r="A83" t="s">
        <v>87</v>
      </c>
      <c r="B83">
        <v>64</v>
      </c>
      <c r="D83" s="99">
        <v>4.5</v>
      </c>
      <c r="E83" s="15">
        <f t="shared" si="3"/>
        <v>99.031690140845072</v>
      </c>
      <c r="F83" s="188" t="s">
        <v>117</v>
      </c>
      <c r="G83" s="191">
        <v>4.5</v>
      </c>
    </row>
    <row r="84" spans="1:8" x14ac:dyDescent="0.25">
      <c r="A84" s="78" t="s">
        <v>88</v>
      </c>
      <c r="B84" s="78">
        <v>145</v>
      </c>
      <c r="C84" s="78" t="s">
        <v>194</v>
      </c>
      <c r="D84" s="195">
        <v>105</v>
      </c>
      <c r="E84" s="17">
        <f>D84/D$73*100/B84*10</f>
        <v>101.99125789218067</v>
      </c>
      <c r="F84" s="189" t="s">
        <v>110</v>
      </c>
      <c r="G84" s="80">
        <v>105</v>
      </c>
    </row>
    <row r="85" spans="1:8" x14ac:dyDescent="0.25">
      <c r="C85" t="s">
        <v>92</v>
      </c>
      <c r="E85" s="17">
        <f>MIN(E74:E83)</f>
        <v>98.591549295774655</v>
      </c>
      <c r="F85" s="189" t="s">
        <v>111</v>
      </c>
    </row>
    <row r="86" spans="1:8" x14ac:dyDescent="0.25">
      <c r="C86" t="s">
        <v>93</v>
      </c>
      <c r="E86" s="17">
        <f>(E85+E84)/2</f>
        <v>100.29140359397766</v>
      </c>
      <c r="F86" s="189">
        <f>E84</f>
        <v>101.99125789218067</v>
      </c>
    </row>
    <row r="87" spans="1:8" x14ac:dyDescent="0.25">
      <c r="A87" t="s">
        <v>91</v>
      </c>
      <c r="E87" s="21">
        <f>IF(E86&gt;100,1,IF(E86&gt;95,0.98+(E86-95)*0.004,IF(E86&gt;90,0.95+(E86-90)*0.006,IF(E86&gt;85,0.91+(E86-85)*0.008,0.91-(85-E86)*0.01))))</f>
        <v>1</v>
      </c>
      <c r="F87" s="190">
        <f>IF(F86&gt;100,1,IF(F86&gt;95,0.98+(F86-95)*0.004,IF(F86&gt;90,0.95+(F86-90)*0.006,IF(F86&gt;85,0.91+(F86-85)*0.008,0.91-(85-F86)*0.01))))</f>
        <v>1</v>
      </c>
    </row>
    <row r="88" spans="1:8" x14ac:dyDescent="0.25">
      <c r="A88" t="s">
        <v>123</v>
      </c>
      <c r="E88" s="22">
        <f>D73*E87</f>
        <v>7.1</v>
      </c>
      <c r="F88" s="23">
        <f>D73*F87</f>
        <v>7.1</v>
      </c>
    </row>
    <row r="89" spans="1:8" x14ac:dyDescent="0.25">
      <c r="E89" s="18" t="s">
        <v>118</v>
      </c>
      <c r="F89" s="20" t="s">
        <v>119</v>
      </c>
    </row>
    <row r="90" spans="1:8" x14ac:dyDescent="0.25">
      <c r="F90" s="52" t="s">
        <v>153</v>
      </c>
    </row>
    <row r="92" spans="1:8" x14ac:dyDescent="0.25">
      <c r="A92" s="52" t="s">
        <v>207</v>
      </c>
      <c r="B92" s="52"/>
      <c r="C92" s="52"/>
      <c r="D92" s="52"/>
      <c r="E92" s="52"/>
      <c r="F92" s="52"/>
      <c r="G92" s="52"/>
    </row>
    <row r="93" spans="1:8" x14ac:dyDescent="0.25">
      <c r="A93" s="52" t="s">
        <v>208</v>
      </c>
      <c r="B93" s="52"/>
      <c r="C93" s="52"/>
      <c r="D93" s="52"/>
      <c r="E93" s="52"/>
      <c r="F93" s="52"/>
      <c r="G93" s="52"/>
    </row>
    <row r="94" spans="1:8" ht="15.75" x14ac:dyDescent="0.25">
      <c r="A94" s="68"/>
      <c r="B94" s="68"/>
      <c r="C94" s="68"/>
      <c r="D94" s="72" t="s">
        <v>209</v>
      </c>
      <c r="E94" s="79"/>
      <c r="F94" s="79"/>
      <c r="G94" s="79"/>
      <c r="H94" s="5"/>
    </row>
    <row r="95" spans="1:8" x14ac:dyDescent="0.25">
      <c r="A95" s="68"/>
      <c r="B95" s="68"/>
      <c r="C95" s="68"/>
      <c r="D95" s="77" t="s">
        <v>176</v>
      </c>
      <c r="E95" s="79"/>
      <c r="F95" s="69">
        <v>4521717736</v>
      </c>
      <c r="G95" s="79"/>
      <c r="H95" s="5"/>
    </row>
    <row r="96" spans="1:8" x14ac:dyDescent="0.25">
      <c r="A96" s="68"/>
      <c r="B96" s="68"/>
      <c r="C96" s="68"/>
      <c r="D96" s="68"/>
      <c r="E96" s="68"/>
      <c r="F96" s="68"/>
      <c r="G96" s="68"/>
    </row>
  </sheetData>
  <sheetProtection algorithmName="SHA-512" hashValue="pYPFBxqAgTcv+c4QYGH/Kk0T2Z/9yCOoH4lgDiZFqfHvCV6czlUBsiZ2m0GnigtyhQIXxQZBVTVvsZIVDcqDqQ==" saltValue="zs1fmrycTQSIfo87OvkUJg==" spinCount="100000" sheet="1" objects="1" scenarios="1"/>
  <hyperlinks>
    <hyperlink ref="D95" r:id="rId1" xr:uid="{7BA75C56-237B-4039-A2A8-7C89B0882D52}"/>
  </hyperlinks>
  <pageMargins left="0.70866141732283472" right="0.70866141732283472" top="0.74803149606299213" bottom="0.74803149606299213" header="0.31496062992125984" footer="0.31496062992125984"/>
  <pageSetup paperSize="9" scale="10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C78E-9D8C-4212-BDFF-17F73ECFAED6}">
  <dimension ref="A1:AI97"/>
  <sheetViews>
    <sheetView zoomScale="142" zoomScaleNormal="142" workbookViewId="0">
      <selection activeCell="U8" sqref="U8"/>
    </sheetView>
  </sheetViews>
  <sheetFormatPr defaultRowHeight="15" x14ac:dyDescent="0.25"/>
  <cols>
    <col min="1" max="1" width="5.5703125" customWidth="1"/>
    <col min="2" max="2" width="7" customWidth="1"/>
    <col min="3" max="4" width="6.42578125" customWidth="1"/>
    <col min="5" max="5" width="8" customWidth="1"/>
    <col min="6" max="6" width="8.7109375" customWidth="1"/>
    <col min="7" max="7" width="11.42578125" customWidth="1"/>
    <col min="8" max="8" width="7" customWidth="1"/>
    <col min="9" max="9" width="8.28515625" customWidth="1"/>
    <col min="10" max="10" width="9.85546875" customWidth="1"/>
    <col min="11" max="11" width="9.7109375" customWidth="1"/>
    <col min="12" max="12" width="8" customWidth="1"/>
    <col min="13" max="13" width="7.140625" customWidth="1"/>
    <col min="14" max="14" width="7.5703125" customWidth="1"/>
    <col min="15" max="15" width="8.5703125" customWidth="1"/>
    <col min="16" max="16" width="6" customWidth="1"/>
    <col min="17" max="17" width="6.5703125" customWidth="1"/>
    <col min="18" max="18" width="11" bestFit="1" customWidth="1"/>
    <col min="19" max="19" width="10" customWidth="1"/>
    <col min="20" max="20" width="7.28515625" customWidth="1"/>
  </cols>
  <sheetData>
    <row r="1" spans="1:35" ht="21" x14ac:dyDescent="0.35">
      <c r="A1" s="147"/>
      <c r="B1" s="169" t="s">
        <v>352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9"/>
      <c r="S1" s="149"/>
      <c r="T1" s="149"/>
    </row>
    <row r="2" spans="1:35" ht="18.75" x14ac:dyDescent="0.3">
      <c r="A2" s="101"/>
      <c r="B2" s="101" t="s">
        <v>136</v>
      </c>
      <c r="C2" s="170"/>
      <c r="D2" s="170"/>
      <c r="E2" s="175" t="str">
        <f>indtastning!C4</f>
        <v>Eksempel på fodring af polte</v>
      </c>
      <c r="F2" s="170"/>
      <c r="G2" s="71"/>
      <c r="H2" s="71"/>
      <c r="I2" s="71"/>
      <c r="J2" s="71"/>
      <c r="K2" s="71"/>
      <c r="L2" s="172"/>
      <c r="M2" s="172"/>
      <c r="N2" s="71"/>
      <c r="O2" s="71"/>
      <c r="P2" s="71"/>
      <c r="Q2" s="71"/>
      <c r="R2" s="180"/>
      <c r="S2" s="173"/>
      <c r="T2" s="154"/>
      <c r="V2" s="126"/>
      <c r="W2" s="152"/>
      <c r="X2" s="152"/>
    </row>
    <row r="3" spans="1:35" ht="18.75" x14ac:dyDescent="0.3">
      <c r="A3" s="101"/>
      <c r="B3" s="174" t="s">
        <v>65</v>
      </c>
      <c r="C3" s="171"/>
      <c r="D3" s="171"/>
      <c r="E3" s="171"/>
      <c r="F3" s="171"/>
      <c r="G3" s="171"/>
      <c r="H3" s="100" t="s">
        <v>174</v>
      </c>
      <c r="I3" s="100"/>
      <c r="J3" s="78" t="str">
        <f>IF(indtastning!G9=1,"Tørfoder","Vådfoder")</f>
        <v>Tørfoder</v>
      </c>
      <c r="K3" s="78"/>
      <c r="L3" s="78" t="s">
        <v>282</v>
      </c>
      <c r="M3" s="78"/>
      <c r="N3" s="78"/>
      <c r="O3" s="82">
        <f>IF(indtastning!J23&lt;4.9,indtastning!J23," ")</f>
        <v>3.4</v>
      </c>
      <c r="P3" s="171"/>
      <c r="Q3" s="171"/>
      <c r="R3" s="72"/>
      <c r="S3" s="69"/>
      <c r="T3" s="154"/>
      <c r="V3" s="126"/>
      <c r="W3" s="183"/>
      <c r="X3" s="152"/>
    </row>
    <row r="4" spans="1:35" ht="15.75" x14ac:dyDescent="0.25">
      <c r="A4" s="71"/>
      <c r="B4" s="137" t="s">
        <v>280</v>
      </c>
      <c r="C4" s="137"/>
      <c r="D4" s="137"/>
      <c r="E4" s="137"/>
      <c r="F4" s="137"/>
      <c r="G4" s="137"/>
      <c r="H4" s="145"/>
      <c r="I4" s="15">
        <f>indtastning!G6</f>
        <v>1</v>
      </c>
      <c r="J4" s="140" t="s">
        <v>266</v>
      </c>
      <c r="K4" s="137"/>
      <c r="L4" s="138"/>
      <c r="M4" s="141">
        <f>indtastning!K9</f>
        <v>9</v>
      </c>
      <c r="N4" s="137"/>
      <c r="O4" s="139"/>
      <c r="P4" s="141"/>
      <c r="Q4" s="68"/>
      <c r="R4" s="102"/>
      <c r="S4" s="69"/>
      <c r="T4" s="154"/>
      <c r="V4" s="153"/>
      <c r="W4" s="152"/>
      <c r="X4" s="152"/>
    </row>
    <row r="5" spans="1:35" ht="15.75" x14ac:dyDescent="0.25">
      <c r="A5" s="71"/>
      <c r="B5" s="137" t="s">
        <v>144</v>
      </c>
      <c r="C5" s="137"/>
      <c r="D5" s="137"/>
      <c r="E5" s="137"/>
      <c r="F5" s="137"/>
      <c r="G5" s="137"/>
      <c r="H5" s="145"/>
      <c r="I5" s="15">
        <f>indtastning!G7</f>
        <v>1.63</v>
      </c>
      <c r="J5" s="181"/>
      <c r="K5" s="168"/>
      <c r="L5" s="168" t="s">
        <v>270</v>
      </c>
      <c r="M5" s="78"/>
      <c r="N5" s="78"/>
      <c r="O5" s="78"/>
      <c r="P5" s="78"/>
      <c r="Q5" s="177"/>
      <c r="R5" s="69"/>
      <c r="S5" s="69"/>
      <c r="T5" s="154"/>
      <c r="V5" s="126"/>
      <c r="W5" s="152"/>
      <c r="X5" s="152"/>
    </row>
    <row r="6" spans="1:35" ht="15.75" x14ac:dyDescent="0.25">
      <c r="A6" s="71"/>
      <c r="B6" s="137" t="s">
        <v>107</v>
      </c>
      <c r="C6" s="137"/>
      <c r="D6" s="137"/>
      <c r="E6" s="137"/>
      <c r="F6" s="137"/>
      <c r="G6" s="137"/>
      <c r="H6" s="145"/>
      <c r="I6" s="15">
        <f>indtastning!G8</f>
        <v>2.48</v>
      </c>
      <c r="J6" s="145"/>
      <c r="K6" s="146">
        <f>IF(indtastning!$A16&gt;221," ",IF(indtastning!$A16&gt;1,indtastning!$A16," "))</f>
        <v>14</v>
      </c>
      <c r="L6" s="146">
        <f>IF(indtastning!$A17&gt;221," ",IF(indtastning!$A17&gt;1,indtastning!$A17," "))</f>
        <v>28</v>
      </c>
      <c r="M6" s="146">
        <f>IF(indtastning!$A18&gt;221," ",IF(indtastning!$A18&gt;1,indtastning!$A18," "))</f>
        <v>52</v>
      </c>
      <c r="N6" s="146">
        <f>IF(indtastning!$A19&gt;221," ",IF(indtastning!$A19&gt;1,indtastning!$A19," "))</f>
        <v>84</v>
      </c>
      <c r="O6" s="146">
        <f>IF(indtastning!$A20&gt;221," ",IF(indtastning!$A20&gt;1,indtastning!$A20," "))</f>
        <v>133</v>
      </c>
      <c r="P6" s="146">
        <f>IF(indtastning!$A21&gt;221," ",IF(indtastning!$A21&gt;1,indtastning!$A21," "))</f>
        <v>211</v>
      </c>
      <c r="Q6" s="184"/>
      <c r="R6" s="69" t="s">
        <v>281</v>
      </c>
      <c r="S6" s="69"/>
      <c r="T6" s="149"/>
    </row>
    <row r="7" spans="1:35" x14ac:dyDescent="0.25">
      <c r="A7" s="178"/>
      <c r="B7" s="104" t="s">
        <v>1</v>
      </c>
      <c r="C7" s="182" t="s">
        <v>286</v>
      </c>
      <c r="D7" s="142"/>
      <c r="E7" s="105" t="s">
        <v>287</v>
      </c>
      <c r="F7" s="105"/>
      <c r="G7" s="104"/>
      <c r="H7" s="142" t="s">
        <v>5</v>
      </c>
      <c r="I7" s="157" t="s">
        <v>288</v>
      </c>
      <c r="J7" s="105"/>
      <c r="K7" s="142" t="s">
        <v>66</v>
      </c>
      <c r="L7" s="142"/>
      <c r="M7" s="105" t="s">
        <v>127</v>
      </c>
      <c r="N7" s="142" t="s">
        <v>166</v>
      </c>
      <c r="O7" s="142"/>
      <c r="P7" s="104" t="s">
        <v>239</v>
      </c>
      <c r="Q7" s="104" t="s">
        <v>41</v>
      </c>
      <c r="R7" s="69" t="s">
        <v>283</v>
      </c>
      <c r="S7" s="69"/>
      <c r="T7" s="149"/>
    </row>
    <row r="8" spans="1:35" ht="15.75" x14ac:dyDescent="0.25">
      <c r="A8" s="179"/>
      <c r="B8" s="104" t="s">
        <v>139</v>
      </c>
      <c r="C8" s="143" t="s">
        <v>264</v>
      </c>
      <c r="D8" s="143" t="s">
        <v>265</v>
      </c>
      <c r="E8" s="105" t="s">
        <v>102</v>
      </c>
      <c r="F8" s="104" t="s">
        <v>9</v>
      </c>
      <c r="G8" s="104" t="s">
        <v>190</v>
      </c>
      <c r="H8" s="142" t="s">
        <v>23</v>
      </c>
      <c r="I8" s="158"/>
      <c r="J8" s="104" t="s">
        <v>106</v>
      </c>
      <c r="K8" s="143" t="s">
        <v>54</v>
      </c>
      <c r="L8" s="143" t="s">
        <v>139</v>
      </c>
      <c r="M8" s="105" t="s">
        <v>23</v>
      </c>
      <c r="N8" s="142" t="s">
        <v>23</v>
      </c>
      <c r="O8" s="142" t="s">
        <v>105</v>
      </c>
      <c r="P8" s="104" t="s">
        <v>55</v>
      </c>
      <c r="Q8" s="104" t="s">
        <v>58</v>
      </c>
      <c r="R8" s="176" t="s">
        <v>284</v>
      </c>
      <c r="S8" s="69"/>
      <c r="T8" s="149"/>
    </row>
    <row r="9" spans="1:35" ht="15.75" x14ac:dyDescent="0.25">
      <c r="A9" s="80" t="s">
        <v>35</v>
      </c>
      <c r="B9" s="104" t="s">
        <v>39</v>
      </c>
      <c r="C9" s="143" t="s">
        <v>39</v>
      </c>
      <c r="D9" s="143" t="s">
        <v>39</v>
      </c>
      <c r="E9" s="105" t="s">
        <v>59</v>
      </c>
      <c r="F9" s="104" t="s">
        <v>104</v>
      </c>
      <c r="G9" s="104" t="s">
        <v>137</v>
      </c>
      <c r="H9" s="142" t="s">
        <v>108</v>
      </c>
      <c r="I9" s="158" t="s">
        <v>103</v>
      </c>
      <c r="J9" s="104" t="s">
        <v>53</v>
      </c>
      <c r="K9" s="143" t="s">
        <v>0</v>
      </c>
      <c r="L9" s="143" t="s">
        <v>138</v>
      </c>
      <c r="M9" s="105"/>
      <c r="N9" s="142"/>
      <c r="O9" s="142" t="s">
        <v>98</v>
      </c>
      <c r="P9" s="104"/>
      <c r="Q9" s="104"/>
      <c r="R9" s="72" t="s">
        <v>285</v>
      </c>
      <c r="T9" s="149"/>
    </row>
    <row r="10" spans="1:35" x14ac:dyDescent="0.25">
      <c r="A10" s="150">
        <f>beregningsark!A11</f>
        <v>0</v>
      </c>
      <c r="B10" s="8">
        <f>beregningsark!B11</f>
        <v>6.3</v>
      </c>
      <c r="C10" s="135">
        <f>B10-B10*M$4/100*1.8</f>
        <v>5.2793999999999999</v>
      </c>
      <c r="D10" s="135">
        <f>B10+B10*M$4/100*1.8</f>
        <v>7.3205999999999998</v>
      </c>
      <c r="E10" s="8">
        <f>beregningsark!C11</f>
        <v>1.1499999999999999</v>
      </c>
      <c r="F10" s="8">
        <f>indtastning!C27</f>
        <v>10.5</v>
      </c>
      <c r="G10" s="8">
        <f>beregningsark!N11</f>
        <v>9.6999999999999993</v>
      </c>
      <c r="H10" s="8">
        <f>beregningsark!J11</f>
        <v>3.3453597672993308E-2</v>
      </c>
      <c r="I10" s="133">
        <f>beregningsark!U11*1000</f>
        <v>20.62783006638621</v>
      </c>
      <c r="J10" s="119"/>
      <c r="K10" s="8">
        <f>beregningsark!T11</f>
        <v>1.6217700827149604</v>
      </c>
      <c r="L10" s="8"/>
      <c r="M10" s="106">
        <f>indtastning!F27/E10</f>
        <v>3.0434782608695654</v>
      </c>
      <c r="N10" s="7"/>
      <c r="O10" s="8"/>
      <c r="P10" s="7">
        <f>indtastning!$K$14+A10</f>
        <v>26</v>
      </c>
      <c r="Q10" s="106">
        <f>P10/7</f>
        <v>3.7142857142857144</v>
      </c>
      <c r="R10" s="151" t="s">
        <v>240</v>
      </c>
      <c r="S10" s="148"/>
      <c r="T10" s="14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</row>
    <row r="11" spans="1:35" x14ac:dyDescent="0.25">
      <c r="A11" s="150">
        <f>A10+7</f>
        <v>7</v>
      </c>
      <c r="B11" s="8">
        <f>beregningsark!B18</f>
        <v>6.7977716795967984</v>
      </c>
      <c r="C11" s="135">
        <f t="shared" ref="C11:C40" si="0">B11-B11*M$4/100*1.8</f>
        <v>5.6965326675021171</v>
      </c>
      <c r="D11" s="135">
        <f t="shared" ref="D11:D40" si="1">B11+B11*M$4/100*1.8</f>
        <v>7.8990106916914797</v>
      </c>
      <c r="E11" s="8">
        <f>beregningsark!C18</f>
        <v>1.1499999999999999</v>
      </c>
      <c r="F11" s="8">
        <f>indtastning!C34</f>
        <v>10.5</v>
      </c>
      <c r="G11" s="8">
        <f>beregningsark!N18</f>
        <v>9.6999999999999993</v>
      </c>
      <c r="H11" s="8">
        <f>beregningsark!J18</f>
        <v>0.26954683862930301</v>
      </c>
      <c r="I11" s="9">
        <f>beregningsark!U18*1000</f>
        <v>166.21261626516787</v>
      </c>
      <c r="J11" s="9">
        <f>beregningsark!V18</f>
        <v>71.110239942399801</v>
      </c>
      <c r="K11" s="8">
        <f>beregningsark!T18</f>
        <v>1.6216990303508643</v>
      </c>
      <c r="L11" s="8">
        <f>beregningsark!X18</f>
        <v>1.6233694420437257</v>
      </c>
      <c r="M11" s="8">
        <f>indtastning!F34/E11</f>
        <v>3.0434782608695654</v>
      </c>
      <c r="N11" s="8">
        <f>beregningsark!W17</f>
        <v>0.80806733377222306</v>
      </c>
      <c r="O11" s="8">
        <f>beregningsark!AD18</f>
        <v>2.459335363654592</v>
      </c>
      <c r="P11" s="7">
        <f>indtastning!$K$14+A11</f>
        <v>33</v>
      </c>
      <c r="Q11" s="106">
        <f t="shared" ref="Q11:Q40" si="2">P11/7</f>
        <v>4.7142857142857144</v>
      </c>
      <c r="R11" s="148" t="s">
        <v>241</v>
      </c>
      <c r="S11" s="148"/>
      <c r="T11" s="148"/>
      <c r="U11" s="118"/>
      <c r="V11" s="118"/>
      <c r="W11" s="118"/>
      <c r="X11" s="118"/>
      <c r="Y11" s="118"/>
      <c r="Z11" s="118"/>
      <c r="AA11" s="118"/>
      <c r="AB11" s="132"/>
      <c r="AC11" s="118"/>
      <c r="AD11" s="118"/>
      <c r="AE11" s="118"/>
      <c r="AF11" s="118"/>
      <c r="AG11" s="118"/>
      <c r="AH11" s="118"/>
      <c r="AI11" s="118"/>
    </row>
    <row r="12" spans="1:35" x14ac:dyDescent="0.25">
      <c r="A12" s="150">
        <f t="shared" ref="A12:A40" si="3">A11+7</f>
        <v>14</v>
      </c>
      <c r="B12" s="8">
        <f>beregningsark!B25</f>
        <v>8.4708088852503245</v>
      </c>
      <c r="C12" s="135">
        <f t="shared" si="0"/>
        <v>7.0985378458397719</v>
      </c>
      <c r="D12" s="135">
        <f t="shared" si="1"/>
        <v>9.8430799246608771</v>
      </c>
      <c r="E12" s="8">
        <f>beregningsark!C25</f>
        <v>1.0900000000000001</v>
      </c>
      <c r="F12" s="8">
        <f>indtastning!C41</f>
        <v>11</v>
      </c>
      <c r="G12" s="8">
        <f>beregningsark!N25</f>
        <v>10.1</v>
      </c>
      <c r="H12" s="8">
        <f>beregningsark!J25</f>
        <v>0.48875279193435034</v>
      </c>
      <c r="I12" s="9">
        <f>beregningsark!U25*1000</f>
        <v>306.87272052926352</v>
      </c>
      <c r="J12" s="9">
        <f>beregningsark!V25</f>
        <v>155.05777751788034</v>
      </c>
      <c r="K12" s="8">
        <f>beregningsark!T25</f>
        <v>1.5926889529033346</v>
      </c>
      <c r="L12" s="8">
        <f>beregningsark!X25</f>
        <v>1.6208377164697889</v>
      </c>
      <c r="M12" s="8">
        <f>indtastning!F41/E12</f>
        <v>2.477064220183486</v>
      </c>
      <c r="N12" s="8">
        <f>beregningsark!W24</f>
        <v>3.5185289164614644</v>
      </c>
      <c r="O12" s="8">
        <f>beregningsark!AD25</f>
        <v>10.708566267491415</v>
      </c>
      <c r="P12" s="7">
        <f>indtastning!$K$14+A12</f>
        <v>40</v>
      </c>
      <c r="Q12" s="106">
        <f t="shared" si="2"/>
        <v>5.7142857142857144</v>
      </c>
      <c r="R12" s="148" t="s">
        <v>242</v>
      </c>
      <c r="S12" s="148"/>
      <c r="T12" s="148"/>
      <c r="U12" s="132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</row>
    <row r="13" spans="1:35" x14ac:dyDescent="0.25">
      <c r="A13" s="150">
        <f t="shared" si="3"/>
        <v>21</v>
      </c>
      <c r="B13" s="8">
        <f>beregningsark!B32</f>
        <v>10.858613161131505</v>
      </c>
      <c r="C13" s="135">
        <f t="shared" si="0"/>
        <v>9.0995178290282013</v>
      </c>
      <c r="D13" s="135">
        <f t="shared" si="1"/>
        <v>12.617708493234808</v>
      </c>
      <c r="E13" s="8">
        <f>beregningsark!C32</f>
        <v>1.0900000000000001</v>
      </c>
      <c r="F13" s="8">
        <f>indtastning!C48</f>
        <v>11</v>
      </c>
      <c r="G13" s="8">
        <f>beregningsark!N32</f>
        <v>10.1</v>
      </c>
      <c r="H13" s="8">
        <f>beregningsark!J32</f>
        <v>0.62245150583316144</v>
      </c>
      <c r="I13" s="9">
        <f>beregningsark!U32*1000</f>
        <v>390.30841349221856</v>
      </c>
      <c r="J13" s="9">
        <f>beregningsark!V32</f>
        <v>217.07681719673832</v>
      </c>
      <c r="K13" s="8">
        <f>beregningsark!T32</f>
        <v>1.5947683532206796</v>
      </c>
      <c r="L13" s="8">
        <f>beregningsark!X32</f>
        <v>1.6059760457940848</v>
      </c>
      <c r="M13" s="8">
        <f>indtastning!F48/E13</f>
        <v>2.477064220183486</v>
      </c>
      <c r="N13" s="8">
        <f>beregningsark!W31</f>
        <v>7.3210235388188476</v>
      </c>
      <c r="O13" s="8">
        <f>beregningsark!AD32</f>
        <v>20.127589643973007</v>
      </c>
      <c r="P13" s="7">
        <f>indtastning!$K$14+A13</f>
        <v>47</v>
      </c>
      <c r="Q13" s="106">
        <f t="shared" si="2"/>
        <v>6.7142857142857144</v>
      </c>
      <c r="R13" s="148" t="s">
        <v>243</v>
      </c>
      <c r="S13" s="148"/>
      <c r="T13" s="14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</row>
    <row r="14" spans="1:35" x14ac:dyDescent="0.25">
      <c r="A14" s="150">
        <f t="shared" si="3"/>
        <v>28</v>
      </c>
      <c r="B14" s="15">
        <f>beregningsark!B39</f>
        <v>13.889112315694801</v>
      </c>
      <c r="C14" s="134">
        <f t="shared" si="0"/>
        <v>11.639076120552243</v>
      </c>
      <c r="D14" s="134">
        <f t="shared" si="1"/>
        <v>16.139148510837359</v>
      </c>
      <c r="E14" s="15">
        <f>beregningsark!C39</f>
        <v>1.07</v>
      </c>
      <c r="F14" s="15">
        <f>indtastning!C55</f>
        <v>11.5</v>
      </c>
      <c r="G14" s="15">
        <f>beregningsark!N39</f>
        <v>10.9</v>
      </c>
      <c r="H14" s="15">
        <f>beregningsark!J39</f>
        <v>0.77920904799851509</v>
      </c>
      <c r="I14" s="108">
        <f>beregningsark!U39*1000</f>
        <v>497.00531893616323</v>
      </c>
      <c r="J14" s="108">
        <f>beregningsark!V39</f>
        <v>271.03972556052861</v>
      </c>
      <c r="K14" s="15">
        <f>beregningsark!T39</f>
        <v>1.5678082674575942</v>
      </c>
      <c r="L14" s="15">
        <f>beregningsark!X39</f>
        <v>1.603433126718691</v>
      </c>
      <c r="M14" s="15">
        <f>indtastning!F55/E14</f>
        <v>2.2429906542056073</v>
      </c>
      <c r="N14" s="15">
        <f>beregningsark!W38</f>
        <v>12.168634089373841</v>
      </c>
      <c r="O14" s="15">
        <f>beregningsark!AD39</f>
        <v>32.135432292136755</v>
      </c>
      <c r="P14" s="82">
        <f>indtastning!$K$14+A14</f>
        <v>54</v>
      </c>
      <c r="Q14" s="109">
        <f t="shared" si="2"/>
        <v>7.7142857142857144</v>
      </c>
      <c r="R14" s="148" t="s">
        <v>244</v>
      </c>
      <c r="S14" s="148"/>
      <c r="T14" s="148"/>
    </row>
    <row r="15" spans="1:35" x14ac:dyDescent="0.25">
      <c r="A15" s="150">
        <f t="shared" si="3"/>
        <v>35</v>
      </c>
      <c r="B15" s="8">
        <f>beregningsark!B46</f>
        <v>17.707861794111949</v>
      </c>
      <c r="C15" s="135">
        <f t="shared" si="0"/>
        <v>14.839188183465813</v>
      </c>
      <c r="D15" s="135">
        <f t="shared" si="1"/>
        <v>20.576535404758083</v>
      </c>
      <c r="E15" s="8">
        <f>beregningsark!C46</f>
        <v>1.07</v>
      </c>
      <c r="F15" s="8">
        <f>indtastning!C62</f>
        <v>11.5</v>
      </c>
      <c r="G15" s="8">
        <f>beregningsark!N46</f>
        <v>10.9</v>
      </c>
      <c r="H15" s="8">
        <f>beregningsark!J46</f>
        <v>0.98969120740698091</v>
      </c>
      <c r="I15" s="9">
        <f>beregningsark!U46*1000</f>
        <v>612.82787693571345</v>
      </c>
      <c r="J15" s="9">
        <f>beregningsark!V46</f>
        <v>325.93890840319852</v>
      </c>
      <c r="K15" s="8">
        <f>beregningsark!T46</f>
        <v>1.6149578774968179</v>
      </c>
      <c r="L15" s="8">
        <f>beregningsark!X46</f>
        <v>1.5980500853755153</v>
      </c>
      <c r="M15" s="8">
        <f>indtastning!F62/E15</f>
        <v>2.2429906542056073</v>
      </c>
      <c r="N15" s="8">
        <f>beregningsark!W45</f>
        <v>18.230334514032677</v>
      </c>
      <c r="O15" s="8">
        <f>beregningsark!AD46</f>
        <v>45.731769693240686</v>
      </c>
      <c r="P15" s="7">
        <f>indtastning!$K$14+A15</f>
        <v>61</v>
      </c>
      <c r="Q15" s="106">
        <f t="shared" si="2"/>
        <v>8.7142857142857135</v>
      </c>
      <c r="R15" s="148" t="s">
        <v>245</v>
      </c>
      <c r="S15" s="148"/>
      <c r="T15" s="148"/>
    </row>
    <row r="16" spans="1:35" x14ac:dyDescent="0.25">
      <c r="A16" s="150">
        <f t="shared" si="3"/>
        <v>42</v>
      </c>
      <c r="B16" s="8">
        <f>beregningsark!B53</f>
        <v>22.375875836858516</v>
      </c>
      <c r="C16" s="135">
        <f t="shared" si="0"/>
        <v>18.750983951287438</v>
      </c>
      <c r="D16" s="135">
        <f t="shared" si="1"/>
        <v>26.000767722429593</v>
      </c>
      <c r="E16" s="8">
        <f>beregningsark!C53</f>
        <v>1.07</v>
      </c>
      <c r="F16" s="8">
        <f>indtastning!C69</f>
        <v>11.5</v>
      </c>
      <c r="G16" s="8">
        <f>beregningsark!N53</f>
        <v>10.9</v>
      </c>
      <c r="H16" s="8">
        <f>beregningsark!J53</f>
        <v>1.2488620476289916</v>
      </c>
      <c r="I16" s="9">
        <f>beregningsark!U53*1000</f>
        <v>746.09953223488935</v>
      </c>
      <c r="J16" s="9">
        <f>beregningsark!V53</f>
        <v>382.75894849663126</v>
      </c>
      <c r="K16" s="8">
        <f>beregningsark!T53</f>
        <v>1.6738544841170346</v>
      </c>
      <c r="L16" s="8">
        <f>beregningsark!X53</f>
        <v>1.6103040195621681</v>
      </c>
      <c r="M16" s="8">
        <f>indtastning!F69/E16</f>
        <v>2.2429906542056073</v>
      </c>
      <c r="N16" s="8">
        <f>beregningsark!W52</f>
        <v>25.887047478075598</v>
      </c>
      <c r="O16" s="8">
        <f>beregningsark!AD53</f>
        <v>62.905705313523882</v>
      </c>
      <c r="P16" s="7">
        <f>indtastning!$K$14+A16</f>
        <v>68</v>
      </c>
      <c r="Q16" s="106">
        <f t="shared" si="2"/>
        <v>9.7142857142857135</v>
      </c>
      <c r="R16" s="148" t="s">
        <v>246</v>
      </c>
      <c r="S16" s="148"/>
      <c r="T16" s="148"/>
    </row>
    <row r="17" spans="1:22" x14ac:dyDescent="0.25">
      <c r="A17" s="150">
        <f t="shared" si="3"/>
        <v>49</v>
      </c>
      <c r="B17" s="8">
        <f>beregningsark!B60</f>
        <v>27.988294187932272</v>
      </c>
      <c r="C17" s="135">
        <f t="shared" si="0"/>
        <v>23.454190529487242</v>
      </c>
      <c r="D17" s="135">
        <f t="shared" si="1"/>
        <v>32.522397846377302</v>
      </c>
      <c r="E17" s="8">
        <f>beregningsark!C60</f>
        <v>1.07</v>
      </c>
      <c r="F17" s="8">
        <f>indtastning!C76</f>
        <v>11.5</v>
      </c>
      <c r="G17" s="8">
        <f>beregningsark!N60</f>
        <v>10.9</v>
      </c>
      <c r="H17" s="8">
        <f>beregningsark!J60</f>
        <v>1.5</v>
      </c>
      <c r="I17" s="9">
        <f>beregningsark!U60*1000</f>
        <v>860.06126801662583</v>
      </c>
      <c r="J17" s="9">
        <f>beregningsark!V60</f>
        <v>442.6182487333117</v>
      </c>
      <c r="K17" s="8">
        <f>beregningsark!T60</f>
        <v>1.7440617962707785</v>
      </c>
      <c r="L17" s="8">
        <f>beregningsark!X60</f>
        <v>1.6345366992907442</v>
      </c>
      <c r="M17" s="8">
        <f>indtastning!F76/E17</f>
        <v>2.2429906542056073</v>
      </c>
      <c r="N17" s="8">
        <f>beregningsark!W59</f>
        <v>35.450312795189447</v>
      </c>
      <c r="O17" s="8">
        <f>beregningsark!AD60</f>
        <v>84.356020043498859</v>
      </c>
      <c r="P17" s="7">
        <f>indtastning!$K$14+A17</f>
        <v>75</v>
      </c>
      <c r="Q17" s="106">
        <f t="shared" si="2"/>
        <v>10.714285714285714</v>
      </c>
      <c r="R17" s="148" t="s">
        <v>247</v>
      </c>
      <c r="S17" s="148"/>
      <c r="T17" s="148"/>
    </row>
    <row r="18" spans="1:22" x14ac:dyDescent="0.25">
      <c r="A18" s="150">
        <f t="shared" si="3"/>
        <v>56</v>
      </c>
      <c r="B18" s="15">
        <f>beregningsark!B67</f>
        <v>33.530119867997485</v>
      </c>
      <c r="C18" s="134">
        <f t="shared" si="0"/>
        <v>28.09824044938189</v>
      </c>
      <c r="D18" s="134">
        <f t="shared" si="1"/>
        <v>38.961999286613079</v>
      </c>
      <c r="E18" s="15">
        <f>beregningsark!C67</f>
        <v>1.05</v>
      </c>
      <c r="F18" s="15">
        <f>indtastning!C83</f>
        <v>7.7</v>
      </c>
      <c r="G18" s="15">
        <f>beregningsark!N67</f>
        <v>7.7</v>
      </c>
      <c r="H18" s="15">
        <f>beregningsark!J67</f>
        <v>1.5</v>
      </c>
      <c r="I18" s="108">
        <f>beregningsark!U67*1000</f>
        <v>736.69464517472636</v>
      </c>
      <c r="J18" s="108">
        <f>beregningsark!V67</f>
        <v>486.25214049995509</v>
      </c>
      <c r="K18" s="15">
        <f>beregningsark!T67</f>
        <v>2.0361217633721713</v>
      </c>
      <c r="L18" s="15">
        <f>beregningsark!X67</f>
        <v>1.6874811061405972</v>
      </c>
      <c r="M18" s="15">
        <f>indtastning!F83/E18</f>
        <v>1.8095238095238093</v>
      </c>
      <c r="N18" s="15">
        <f>beregningsark!W66</f>
        <v>45.950312795189447</v>
      </c>
      <c r="O18" s="15">
        <f>beregningsark!AD67</f>
        <v>105.30662084456691</v>
      </c>
      <c r="P18" s="82">
        <f>indtastning!$K$14+A18</f>
        <v>82</v>
      </c>
      <c r="Q18" s="109">
        <f t="shared" si="2"/>
        <v>11.714285714285714</v>
      </c>
      <c r="R18" s="148" t="s">
        <v>248</v>
      </c>
      <c r="S18" s="148"/>
      <c r="T18" s="148"/>
    </row>
    <row r="19" spans="1:22" x14ac:dyDescent="0.25">
      <c r="A19" s="150">
        <f t="shared" si="3"/>
        <v>63</v>
      </c>
      <c r="B19" s="8">
        <f>beregningsark!B74</f>
        <v>38.919625944553339</v>
      </c>
      <c r="C19" s="135">
        <f t="shared" si="0"/>
        <v>32.614646541535699</v>
      </c>
      <c r="D19" s="135">
        <f t="shared" si="1"/>
        <v>45.224605347570979</v>
      </c>
      <c r="E19" s="8">
        <f>beregningsark!C74</f>
        <v>1.05</v>
      </c>
      <c r="F19" s="8">
        <f>indtastning!C90</f>
        <v>7.7</v>
      </c>
      <c r="G19" s="8">
        <f>beregningsark!N74</f>
        <v>7.7</v>
      </c>
      <c r="H19" s="8">
        <f>beregningsark!J74</f>
        <v>1.7</v>
      </c>
      <c r="I19" s="9">
        <f>beregningsark!U74*1000</f>
        <v>812.81170467023026</v>
      </c>
      <c r="J19" s="9">
        <f>beregningsark!V74</f>
        <v>517.77184038973553</v>
      </c>
      <c r="K19" s="8">
        <f>beregningsark!T74</f>
        <v>2.0915053144931215</v>
      </c>
      <c r="L19" s="8">
        <f>beregningsark!X74</f>
        <v>1.7489750769111905</v>
      </c>
      <c r="M19" s="8">
        <f>indtastning!F90/E19</f>
        <v>1.8095238095238093</v>
      </c>
      <c r="N19" s="8">
        <f>beregningsark!W73</f>
        <v>57.050912795189447</v>
      </c>
      <c r="O19" s="8">
        <f>beregningsark!AD74</f>
        <v>125.39342084456692</v>
      </c>
      <c r="P19" s="7">
        <f>indtastning!$K$14+A19</f>
        <v>89</v>
      </c>
      <c r="Q19" s="106">
        <f t="shared" si="2"/>
        <v>12.714285714285714</v>
      </c>
      <c r="R19" s="148" t="s">
        <v>249</v>
      </c>
      <c r="S19" s="148"/>
      <c r="T19" s="148"/>
    </row>
    <row r="20" spans="1:22" x14ac:dyDescent="0.25">
      <c r="A20" s="150">
        <f t="shared" si="3"/>
        <v>70</v>
      </c>
      <c r="B20" s="8">
        <f>beregningsark!B81</f>
        <v>44.891013151772121</v>
      </c>
      <c r="C20" s="135">
        <f t="shared" si="0"/>
        <v>37.618669021185035</v>
      </c>
      <c r="D20" s="135">
        <f t="shared" si="1"/>
        <v>52.163357282359208</v>
      </c>
      <c r="E20" s="8">
        <f>beregningsark!C81</f>
        <v>1.05</v>
      </c>
      <c r="F20" s="8">
        <f>indtastning!C97</f>
        <v>7.7</v>
      </c>
      <c r="G20" s="8">
        <f>beregningsark!N81</f>
        <v>7.7</v>
      </c>
      <c r="H20" s="8">
        <f>beregningsark!J81</f>
        <v>1.95</v>
      </c>
      <c r="I20" s="9">
        <f>beregningsark!U81*1000</f>
        <v>904.87498597979516</v>
      </c>
      <c r="J20" s="9">
        <f>beregningsark!V81</f>
        <v>551.30018788245889</v>
      </c>
      <c r="K20" s="8">
        <f>beregningsark!T81</f>
        <v>2.1549938170614227</v>
      </c>
      <c r="L20" s="8">
        <f>beregningsark!X81</f>
        <v>1.8061630701703595</v>
      </c>
      <c r="M20" s="8">
        <f>indtastning!F97/E20</f>
        <v>1.8095238095238093</v>
      </c>
      <c r="N20" s="8">
        <f>beregningsark!W80</f>
        <v>69.701662795189463</v>
      </c>
      <c r="O20" s="8">
        <f>beregningsark!AD81</f>
        <v>148.28525417790024</v>
      </c>
      <c r="P20" s="7">
        <f>indtastning!$K$14+A20</f>
        <v>96</v>
      </c>
      <c r="Q20" s="106">
        <f t="shared" si="2"/>
        <v>13.714285714285714</v>
      </c>
      <c r="R20" s="148" t="s">
        <v>250</v>
      </c>
      <c r="S20" s="148"/>
      <c r="T20" s="148"/>
    </row>
    <row r="21" spans="1:22" x14ac:dyDescent="0.25">
      <c r="A21" s="150">
        <f t="shared" si="3"/>
        <v>77</v>
      </c>
      <c r="B21" s="8">
        <f>beregningsark!B88</f>
        <v>51.479834601920857</v>
      </c>
      <c r="C21" s="135">
        <f t="shared" si="0"/>
        <v>43.140101396409676</v>
      </c>
      <c r="D21" s="135">
        <f t="shared" si="1"/>
        <v>59.819567807432037</v>
      </c>
      <c r="E21" s="8">
        <f>beregningsark!C88</f>
        <v>1.05</v>
      </c>
      <c r="F21" s="8">
        <f>indtastning!C104</f>
        <v>7.7</v>
      </c>
      <c r="G21" s="8">
        <f>beregningsark!N88</f>
        <v>7.7</v>
      </c>
      <c r="H21" s="8">
        <f>beregningsark!J88</f>
        <v>2.2000000000000002</v>
      </c>
      <c r="I21" s="9">
        <f>beregningsark!U88*1000</f>
        <v>987.96976117283953</v>
      </c>
      <c r="J21" s="9">
        <f>beregningsark!V88</f>
        <v>586.751098726245</v>
      </c>
      <c r="K21" s="8">
        <f>beregningsark!T88</f>
        <v>2.2267888010948171</v>
      </c>
      <c r="L21" s="8">
        <f>beregningsark!X88</f>
        <v>1.8615033351984378</v>
      </c>
      <c r="M21" s="8">
        <f>indtastning!F104/E21</f>
        <v>1.8095238095238093</v>
      </c>
      <c r="N21" s="8">
        <f>beregningsark!W87</f>
        <v>84.102412795189466</v>
      </c>
      <c r="O21" s="8">
        <f>beregningsark!AD88</f>
        <v>174.34375417790022</v>
      </c>
      <c r="P21" s="7">
        <f>indtastning!$K$14+A21</f>
        <v>103</v>
      </c>
      <c r="Q21" s="106">
        <f t="shared" si="2"/>
        <v>14.714285714285714</v>
      </c>
      <c r="R21" s="148" t="s">
        <v>251</v>
      </c>
      <c r="S21" s="148"/>
      <c r="T21" s="148"/>
      <c r="V21" s="7"/>
    </row>
    <row r="22" spans="1:22" x14ac:dyDescent="0.25">
      <c r="A22" s="150">
        <f t="shared" si="3"/>
        <v>84</v>
      </c>
      <c r="B22" s="15">
        <f>beregningsark!B95</f>
        <v>58.558549899402891</v>
      </c>
      <c r="C22" s="134">
        <f t="shared" si="0"/>
        <v>49.072064815699619</v>
      </c>
      <c r="D22" s="134">
        <f t="shared" si="1"/>
        <v>68.045034983106163</v>
      </c>
      <c r="E22" s="15">
        <f>beregningsark!C95</f>
        <v>1.03</v>
      </c>
      <c r="F22" s="15">
        <f>indtastning!C111</f>
        <v>6</v>
      </c>
      <c r="G22" s="15">
        <f>beregningsark!N95</f>
        <v>6</v>
      </c>
      <c r="H22" s="15">
        <f>beregningsark!J95</f>
        <v>2.4</v>
      </c>
      <c r="I22" s="108">
        <f>beregningsark!U95*1000</f>
        <v>921.61121635202642</v>
      </c>
      <c r="J22" s="108">
        <f>beregningsark!V95</f>
        <v>622.12559404051058</v>
      </c>
      <c r="K22" s="15">
        <f>beregningsark!T95</f>
        <v>2.6041349729876506</v>
      </c>
      <c r="L22" s="15">
        <f>beregningsark!X95</f>
        <v>1.915533687557091</v>
      </c>
      <c r="M22" s="15">
        <f>indtastning!F111/E22</f>
        <v>1.6990291262135921</v>
      </c>
      <c r="N22" s="15">
        <f>beregningsark!W94</f>
        <v>100.10301279518947</v>
      </c>
      <c r="O22" s="15">
        <f>beregningsark!AD95</f>
        <v>203.29722084456688</v>
      </c>
      <c r="P22" s="82">
        <f>indtastning!$K$14+A22</f>
        <v>110</v>
      </c>
      <c r="Q22" s="109">
        <f t="shared" si="2"/>
        <v>15.714285714285714</v>
      </c>
      <c r="R22" s="148" t="s">
        <v>252</v>
      </c>
      <c r="S22" s="148"/>
      <c r="T22" s="148"/>
      <c r="V22" s="7"/>
    </row>
    <row r="23" spans="1:22" x14ac:dyDescent="0.25">
      <c r="A23" s="150">
        <f t="shared" si="3"/>
        <v>91</v>
      </c>
      <c r="B23" s="8">
        <f>beregningsark!B102</f>
        <v>65.233362555368586</v>
      </c>
      <c r="C23" s="135">
        <f t="shared" si="0"/>
        <v>54.665557821398878</v>
      </c>
      <c r="D23" s="135">
        <f t="shared" si="1"/>
        <v>75.801167289338295</v>
      </c>
      <c r="E23" s="8">
        <f>beregningsark!C102</f>
        <v>1.03</v>
      </c>
      <c r="F23" s="8">
        <f>indtastning!C118</f>
        <v>6</v>
      </c>
      <c r="G23" s="8">
        <f>beregningsark!N102</f>
        <v>6</v>
      </c>
      <c r="H23" s="8">
        <f>beregningsark!J102</f>
        <v>2.6</v>
      </c>
      <c r="I23" s="9">
        <f>beregningsark!U102*1000</f>
        <v>995.9606007233599</v>
      </c>
      <c r="J23" s="9">
        <f>beregningsark!V102</f>
        <v>647.61936874031414</v>
      </c>
      <c r="K23" s="8">
        <f>beregningsark!T102</f>
        <v>2.6105450337208485</v>
      </c>
      <c r="L23" s="8">
        <f>beregningsark!X102</f>
        <v>1.9938385949858783</v>
      </c>
      <c r="M23" s="8">
        <f>indtastning!F118/E23</f>
        <v>1.6990291262135921</v>
      </c>
      <c r="N23" s="8">
        <f>beregningsark!W101</f>
        <v>117.50361279518948</v>
      </c>
      <c r="O23" s="8">
        <f>beregningsark!AD102</f>
        <v>232.86134705815911</v>
      </c>
      <c r="P23" s="7">
        <f>indtastning!$K$14+A23</f>
        <v>117</v>
      </c>
      <c r="Q23" s="106">
        <f t="shared" si="2"/>
        <v>16.714285714285715</v>
      </c>
      <c r="R23" s="148" t="s">
        <v>253</v>
      </c>
      <c r="S23" s="148"/>
      <c r="T23" s="148"/>
      <c r="V23" s="7"/>
    </row>
    <row r="24" spans="1:22" x14ac:dyDescent="0.25">
      <c r="A24" s="150">
        <f t="shared" si="3"/>
        <v>98</v>
      </c>
      <c r="B24" s="8">
        <f>beregningsark!B109</f>
        <v>72.321132944345777</v>
      </c>
      <c r="C24" s="135">
        <f t="shared" si="0"/>
        <v>60.605109407361759</v>
      </c>
      <c r="D24" s="135">
        <f t="shared" si="1"/>
        <v>84.037156481329788</v>
      </c>
      <c r="E24" s="8">
        <f>beregningsark!C109</f>
        <v>1.03</v>
      </c>
      <c r="F24" s="8">
        <f>indtastning!C125</f>
        <v>6</v>
      </c>
      <c r="G24" s="8">
        <f>beregningsark!N109</f>
        <v>6</v>
      </c>
      <c r="H24" s="8">
        <f>beregningsark!J109</f>
        <v>2.75</v>
      </c>
      <c r="I24" s="9">
        <f>beregningsark!U109*1000</f>
        <v>1028.9609502954295</v>
      </c>
      <c r="J24" s="9">
        <f>beregningsark!V109</f>
        <v>673.68503004434467</v>
      </c>
      <c r="K24" s="8">
        <f>beregningsark!T109</f>
        <v>2.6725989933927381</v>
      </c>
      <c r="L24" s="8">
        <f>beregningsark!X109</f>
        <v>2.0622800113103792</v>
      </c>
      <c r="M24" s="8">
        <f>indtastning!F125/E24</f>
        <v>1.6990291262135921</v>
      </c>
      <c r="N24" s="8">
        <f>beregningsark!W108</f>
        <v>136.15406279518947</v>
      </c>
      <c r="O24" s="8">
        <f>beregningsark!AD109</f>
        <v>264.54900482514944</v>
      </c>
      <c r="P24" s="7">
        <f>indtastning!$K$14+A24</f>
        <v>124</v>
      </c>
      <c r="Q24" s="106">
        <f t="shared" si="2"/>
        <v>17.714285714285715</v>
      </c>
      <c r="R24" s="148" t="s">
        <v>254</v>
      </c>
      <c r="S24" s="148"/>
      <c r="T24" s="148"/>
    </row>
    <row r="25" spans="1:22" x14ac:dyDescent="0.25">
      <c r="A25" s="150">
        <f t="shared" si="3"/>
        <v>105</v>
      </c>
      <c r="B25" s="8">
        <f>beregningsark!B116</f>
        <v>79.602960257502147</v>
      </c>
      <c r="C25" s="135">
        <f t="shared" si="0"/>
        <v>66.707280695786807</v>
      </c>
      <c r="D25" s="135">
        <f t="shared" si="1"/>
        <v>92.498639819217487</v>
      </c>
      <c r="E25" s="8">
        <f>beregningsark!C116</f>
        <v>1.03</v>
      </c>
      <c r="F25" s="8">
        <f>indtastning!C132</f>
        <v>6</v>
      </c>
      <c r="G25" s="8">
        <f>beregningsark!N116</f>
        <v>6</v>
      </c>
      <c r="H25" s="8">
        <f>beregningsark!J116</f>
        <v>2.9</v>
      </c>
      <c r="I25" s="9">
        <f>beregningsark!U116*1000</f>
        <v>1054.7619373863402</v>
      </c>
      <c r="J25" s="9">
        <f>beregningsark!V116</f>
        <v>698.12343102382999</v>
      </c>
      <c r="K25" s="8">
        <f>beregningsark!T116</f>
        <v>2.7494355808724849</v>
      </c>
      <c r="L25" s="8">
        <f>beregningsark!X116</f>
        <v>2.1261694240955107</v>
      </c>
      <c r="M25" s="8">
        <f>indtastning!F132/E25</f>
        <v>1.6990291262135921</v>
      </c>
      <c r="N25" s="8">
        <f>beregningsark!W115</f>
        <v>155.85451279518946</v>
      </c>
      <c r="O25" s="8">
        <f>beregningsark!AD116</f>
        <v>298.02064317466397</v>
      </c>
      <c r="P25" s="7">
        <f>indtastning!$K$14+A25</f>
        <v>131</v>
      </c>
      <c r="Q25" s="106">
        <f t="shared" si="2"/>
        <v>18.714285714285715</v>
      </c>
      <c r="R25" s="148"/>
      <c r="S25" s="148"/>
      <c r="T25" s="148"/>
    </row>
    <row r="26" spans="1:22" x14ac:dyDescent="0.25">
      <c r="A26" s="150">
        <f t="shared" si="3"/>
        <v>112</v>
      </c>
      <c r="B26" s="15">
        <f>beregningsark!B123</f>
        <v>87.004267942478805</v>
      </c>
      <c r="C26" s="134">
        <f t="shared" si="0"/>
        <v>72.909576535797243</v>
      </c>
      <c r="D26" s="134">
        <f t="shared" si="1"/>
        <v>101.09895934916037</v>
      </c>
      <c r="E26" s="15">
        <f>beregningsark!C123</f>
        <v>1.03</v>
      </c>
      <c r="F26" s="15">
        <f>indtastning!C139</f>
        <v>6</v>
      </c>
      <c r="G26" s="15">
        <f>beregningsark!N123</f>
        <v>6</v>
      </c>
      <c r="H26" s="15">
        <f>beregningsark!J123</f>
        <v>3</v>
      </c>
      <c r="I26" s="108">
        <f>beregningsark!U123*1000</f>
        <v>1060.5371957112138</v>
      </c>
      <c r="J26" s="108">
        <f>beregningsark!V123</f>
        <v>720.57382091498937</v>
      </c>
      <c r="K26" s="15">
        <f>beregningsark!T123</f>
        <v>2.8287550989554404</v>
      </c>
      <c r="L26" s="15">
        <f>beregningsark!X123</f>
        <v>2.1864371896781956</v>
      </c>
      <c r="M26" s="15">
        <f>indtastning!F139/E26</f>
        <v>1.6990291262135921</v>
      </c>
      <c r="N26" s="15">
        <f>beregningsark!W122</f>
        <v>176.45481279518947</v>
      </c>
      <c r="O26" s="15">
        <f>beregningsark!AD123</f>
        <v>333.02115288340178</v>
      </c>
      <c r="P26" s="82">
        <f>indtastning!$K$14+A26</f>
        <v>138</v>
      </c>
      <c r="Q26" s="109">
        <f t="shared" si="2"/>
        <v>19.714285714285715</v>
      </c>
      <c r="R26" s="148" t="s">
        <v>255</v>
      </c>
      <c r="S26" s="148"/>
      <c r="T26" s="148"/>
    </row>
    <row r="27" spans="1:22" x14ac:dyDescent="0.25">
      <c r="A27" s="150">
        <f t="shared" si="3"/>
        <v>119</v>
      </c>
      <c r="B27" s="8">
        <f>beregningsark!B130</f>
        <v>94.44325876801075</v>
      </c>
      <c r="C27" s="135">
        <f t="shared" si="0"/>
        <v>79.143450847593016</v>
      </c>
      <c r="D27" s="135">
        <f t="shared" si="1"/>
        <v>109.74306668842848</v>
      </c>
      <c r="E27" s="8">
        <f>beregningsark!C130</f>
        <v>1.03</v>
      </c>
      <c r="F27" s="8">
        <f>indtastning!C146</f>
        <v>6</v>
      </c>
      <c r="G27" s="8">
        <f>beregningsark!N130</f>
        <v>6</v>
      </c>
      <c r="H27" s="8">
        <f>beregningsark!J130</f>
        <v>3.1</v>
      </c>
      <c r="I27" s="9">
        <f>beregningsark!U130*1000</f>
        <v>1065.4182276359479</v>
      </c>
      <c r="J27" s="9">
        <f>beregningsark!V130</f>
        <v>740.69965351269536</v>
      </c>
      <c r="K27" s="8">
        <f>beregningsark!T130</f>
        <v>2.90965549451747</v>
      </c>
      <c r="L27" s="8">
        <f>beregningsark!X130</f>
        <v>2.2435648007486582</v>
      </c>
      <c r="M27" s="8">
        <f>indtastning!F146/E27</f>
        <v>1.6990291262135921</v>
      </c>
      <c r="N27" s="8">
        <f>beregningsark!W129</f>
        <v>197.75511279518946</v>
      </c>
      <c r="O27" s="8">
        <f>beregningsark!AD130</f>
        <v>369.21098298048912</v>
      </c>
      <c r="P27" s="7">
        <f>indtastning!$K$14+A27</f>
        <v>145</v>
      </c>
      <c r="Q27" s="106">
        <f t="shared" si="2"/>
        <v>20.714285714285715</v>
      </c>
      <c r="R27" s="148" t="s">
        <v>256</v>
      </c>
      <c r="S27" s="148"/>
      <c r="T27" s="148"/>
    </row>
    <row r="28" spans="1:22" x14ac:dyDescent="0.25">
      <c r="A28" s="150">
        <f t="shared" si="3"/>
        <v>126</v>
      </c>
      <c r="B28" s="8">
        <f>beregningsark!B137</f>
        <v>101.91396400931848</v>
      </c>
      <c r="C28" s="135">
        <f t="shared" si="0"/>
        <v>85.403901839808881</v>
      </c>
      <c r="D28" s="135">
        <f t="shared" si="1"/>
        <v>118.42402617882807</v>
      </c>
      <c r="E28" s="8">
        <f>beregningsark!C137</f>
        <v>1.03</v>
      </c>
      <c r="F28" s="8">
        <f>indtastning!C153</f>
        <v>6</v>
      </c>
      <c r="G28" s="8">
        <f>beregningsark!N137</f>
        <v>6</v>
      </c>
      <c r="H28" s="8">
        <f>beregningsark!J137</f>
        <v>3.2</v>
      </c>
      <c r="I28" s="9">
        <f>beregningsark!U137*1000</f>
        <v>1069.4992821426172</v>
      </c>
      <c r="J28" s="9">
        <f>beregningsark!V137</f>
        <v>758.84098420094028</v>
      </c>
      <c r="K28" s="8">
        <f>beregningsark!T137</f>
        <v>2.9920543692083394</v>
      </c>
      <c r="L28" s="8">
        <f>beregningsark!X137</f>
        <v>2.298361071754877</v>
      </c>
      <c r="M28" s="8">
        <f>indtastning!F153/E28</f>
        <v>1.6990291262135921</v>
      </c>
      <c r="N28" s="8">
        <f>beregningsark!W136</f>
        <v>219.75541279518944</v>
      </c>
      <c r="O28" s="8">
        <f>beregningsark!AD137</f>
        <v>406.59013346592604</v>
      </c>
      <c r="P28" s="7">
        <f>indtastning!$K$14+A28</f>
        <v>152</v>
      </c>
      <c r="Q28" s="106">
        <f t="shared" si="2"/>
        <v>21.714285714285715</v>
      </c>
      <c r="R28" s="148" t="s">
        <v>257</v>
      </c>
      <c r="S28" s="148"/>
      <c r="T28" s="148"/>
    </row>
    <row r="29" spans="1:22" x14ac:dyDescent="0.25">
      <c r="A29" s="150">
        <f t="shared" si="3"/>
        <v>133</v>
      </c>
      <c r="B29" s="8">
        <f>beregningsark!B144</f>
        <v>109.5090681641454</v>
      </c>
      <c r="C29" s="135">
        <f t="shared" si="0"/>
        <v>91.768599121553848</v>
      </c>
      <c r="D29" s="135">
        <f t="shared" si="1"/>
        <v>127.24953720673696</v>
      </c>
      <c r="E29" s="8">
        <f>beregningsark!C144</f>
        <v>1.02</v>
      </c>
      <c r="F29" s="8">
        <f>indtastning!C160</f>
        <v>4</v>
      </c>
      <c r="G29" s="8">
        <f>beregningsark!N144</f>
        <v>4</v>
      </c>
      <c r="H29" s="8">
        <f>beregningsark!J144</f>
        <v>3.4</v>
      </c>
      <c r="I29" s="9">
        <f>beregningsark!U144*1000</f>
        <v>856.05469180127375</v>
      </c>
      <c r="J29" s="9">
        <f>beregningsark!V144</f>
        <v>776.0080313093639</v>
      </c>
      <c r="K29" s="8">
        <f>beregningsark!T144</f>
        <v>3.9717088552436581</v>
      </c>
      <c r="L29" s="8">
        <f>beregningsark!X144</f>
        <v>2.3520802688491118</v>
      </c>
      <c r="M29" s="8">
        <f>indtastning!F160/E29</f>
        <v>1.6666666666666665</v>
      </c>
      <c r="N29" s="8">
        <f>beregningsark!W143</f>
        <v>242.75601279518943</v>
      </c>
      <c r="O29" s="8">
        <f>beregningsark!AD144</f>
        <v>445.66882278631437</v>
      </c>
      <c r="P29" s="7">
        <f>indtastning!$K$14+A29</f>
        <v>159</v>
      </c>
      <c r="Q29" s="106">
        <f t="shared" si="2"/>
        <v>22.714285714285715</v>
      </c>
      <c r="R29" s="148" t="s">
        <v>258</v>
      </c>
      <c r="S29" s="148"/>
      <c r="T29" s="148"/>
    </row>
    <row r="30" spans="1:22" x14ac:dyDescent="0.25">
      <c r="A30" s="150">
        <f t="shared" si="3"/>
        <v>140</v>
      </c>
      <c r="B30" s="15">
        <f>beregningsark!B151</f>
        <v>115.4970455794828</v>
      </c>
      <c r="C30" s="134">
        <f t="shared" si="0"/>
        <v>96.786524195606589</v>
      </c>
      <c r="D30" s="134">
        <f t="shared" si="1"/>
        <v>134.207566963359</v>
      </c>
      <c r="E30" s="15">
        <f>beregningsark!C151</f>
        <v>1.02</v>
      </c>
      <c r="F30" s="15">
        <f>indtastning!C167</f>
        <v>4</v>
      </c>
      <c r="G30" s="15">
        <f>beregningsark!N151</f>
        <v>4</v>
      </c>
      <c r="H30" s="15">
        <f>beregningsark!J151</f>
        <v>3.4</v>
      </c>
      <c r="I30" s="108">
        <f>beregningsark!U151*1000</f>
        <v>854.59356933732477</v>
      </c>
      <c r="J30" s="108">
        <f>beregningsark!V151</f>
        <v>779.97889699630571</v>
      </c>
      <c r="K30" s="15">
        <f>beregningsark!T151</f>
        <v>3.9784993966622673</v>
      </c>
      <c r="L30" s="15">
        <f>beregningsark!X151</f>
        <v>2.4410551712332498</v>
      </c>
      <c r="M30" s="15">
        <f>indtastning!F167/E30</f>
        <v>1.6666666666666665</v>
      </c>
      <c r="N30" s="15">
        <f>beregningsark!W150</f>
        <v>266.55601279518936</v>
      </c>
      <c r="O30" s="15">
        <f>beregningsark!AD151</f>
        <v>485.33548945298116</v>
      </c>
      <c r="P30" s="82">
        <f>indtastning!$K$14+A30</f>
        <v>166</v>
      </c>
      <c r="Q30" s="109">
        <f t="shared" si="2"/>
        <v>23.714285714285715</v>
      </c>
      <c r="R30" s="148" t="s">
        <v>279</v>
      </c>
      <c r="S30" s="148"/>
      <c r="T30" s="148"/>
    </row>
    <row r="31" spans="1:22" x14ac:dyDescent="0.25">
      <c r="A31" s="150">
        <f t="shared" si="3"/>
        <v>147</v>
      </c>
      <c r="B31" s="8">
        <f>beregningsark!B158</f>
        <v>121.47490834131797</v>
      </c>
      <c r="C31" s="135">
        <f t="shared" si="0"/>
        <v>101.79597319002445</v>
      </c>
      <c r="D31" s="135">
        <f t="shared" si="1"/>
        <v>141.15384349261149</v>
      </c>
      <c r="E31" s="8">
        <f>beregningsark!C158</f>
        <v>1.02</v>
      </c>
      <c r="F31" s="8">
        <f>indtastning!C174</f>
        <v>4</v>
      </c>
      <c r="G31" s="8">
        <f>beregningsark!N158</f>
        <v>4</v>
      </c>
      <c r="H31" s="8">
        <f>beregningsark!J158</f>
        <v>3.4</v>
      </c>
      <c r="I31" s="9">
        <f>beregningsark!U158*1000</f>
        <v>853.16966003062873</v>
      </c>
      <c r="J31" s="9">
        <f>beregningsark!V158</f>
        <v>783.50277783209515</v>
      </c>
      <c r="K31" s="8">
        <f>beregningsark!T158</f>
        <v>3.9851393682681358</v>
      </c>
      <c r="L31" s="8">
        <f>beregningsark!X158</f>
        <v>2.5210005979316814</v>
      </c>
      <c r="M31" s="8">
        <f>indtastning!F174/E31</f>
        <v>1.6666666666666665</v>
      </c>
      <c r="N31" s="8">
        <f>beregningsark!W157</f>
        <v>290.3560127951892</v>
      </c>
      <c r="O31" s="8">
        <f>beregningsark!AD158</f>
        <v>525.00215611964779</v>
      </c>
      <c r="P31" s="7">
        <f>indtastning!$K$14+A31</f>
        <v>173</v>
      </c>
      <c r="Q31" s="106">
        <f t="shared" si="2"/>
        <v>24.714285714285715</v>
      </c>
      <c r="R31" s="148" t="s">
        <v>259</v>
      </c>
      <c r="S31" s="148"/>
      <c r="T31" s="148"/>
    </row>
    <row r="32" spans="1:22" x14ac:dyDescent="0.25">
      <c r="A32" s="150">
        <f t="shared" si="3"/>
        <v>154</v>
      </c>
      <c r="B32" s="8">
        <f>beregningsark!B165</f>
        <v>127.44290903439888</v>
      </c>
      <c r="C32" s="135">
        <f t="shared" si="0"/>
        <v>106.79715777082626</v>
      </c>
      <c r="D32" s="135">
        <f t="shared" si="1"/>
        <v>148.0886602979715</v>
      </c>
      <c r="E32" s="8">
        <f>beregningsark!C165</f>
        <v>1.02</v>
      </c>
      <c r="F32" s="8">
        <f>indtastning!C181</f>
        <v>4</v>
      </c>
      <c r="G32" s="8">
        <f>beregningsark!N165</f>
        <v>4</v>
      </c>
      <c r="H32" s="8">
        <f>beregningsark!J165</f>
        <v>3.4</v>
      </c>
      <c r="I32" s="9">
        <f>beregningsark!U165*1000</f>
        <v>851.78038842131105</v>
      </c>
      <c r="J32" s="9">
        <f>beregningsark!V165</f>
        <v>786.64226645713563</v>
      </c>
      <c r="K32" s="8">
        <f>beregningsark!T165</f>
        <v>3.9916392138372152</v>
      </c>
      <c r="L32" s="8">
        <f>beregningsark!X165</f>
        <v>2.5932678627189274</v>
      </c>
      <c r="M32" s="8">
        <f>indtastning!F181/E32</f>
        <v>1.6666666666666665</v>
      </c>
      <c r="N32" s="8">
        <f>beregningsark!W164</f>
        <v>314.15601279518904</v>
      </c>
      <c r="O32" s="8">
        <f>beregningsark!AD165</f>
        <v>564.66882278631419</v>
      </c>
      <c r="P32" s="7">
        <f>indtastning!$K$14+A32</f>
        <v>180</v>
      </c>
      <c r="Q32" s="106">
        <f t="shared" si="2"/>
        <v>25.714285714285715</v>
      </c>
      <c r="R32" s="148"/>
      <c r="S32" s="148"/>
      <c r="T32" s="148"/>
    </row>
    <row r="33" spans="1:20" x14ac:dyDescent="0.25">
      <c r="A33" s="150">
        <f t="shared" si="3"/>
        <v>161</v>
      </c>
      <c r="B33" s="8">
        <f>beregningsark!B172</f>
        <v>133.40128311710268</v>
      </c>
      <c r="C33" s="135">
        <f t="shared" si="0"/>
        <v>111.79027525213205</v>
      </c>
      <c r="D33" s="135">
        <f t="shared" si="1"/>
        <v>155.0122909820733</v>
      </c>
      <c r="E33" s="8">
        <f>beregningsark!C172</f>
        <v>1.02</v>
      </c>
      <c r="F33" s="8">
        <f>indtastning!C188</f>
        <v>4</v>
      </c>
      <c r="G33" s="8">
        <f>beregningsark!N172</f>
        <v>4</v>
      </c>
      <c r="H33" s="8">
        <f>beregningsark!J172</f>
        <v>3.4</v>
      </c>
      <c r="I33" s="9">
        <f>beregningsark!U172*1000</f>
        <v>850.4234702132087</v>
      </c>
      <c r="J33" s="9">
        <f>beregningsark!V172</f>
        <v>789.44896346026508</v>
      </c>
      <c r="K33" s="8">
        <f>beregningsark!T172</f>
        <v>3.9980081913162504</v>
      </c>
      <c r="L33" s="8">
        <f>beregningsark!X172</f>
        <v>2.6589504409945151</v>
      </c>
      <c r="M33" s="8">
        <f>indtastning!F188/E33</f>
        <v>1.6666666666666665</v>
      </c>
      <c r="N33" s="8">
        <f>beregningsark!W171</f>
        <v>337.95601279518888</v>
      </c>
      <c r="O33" s="8">
        <f>beregningsark!AD172</f>
        <v>604.3354894529806</v>
      </c>
      <c r="P33" s="7">
        <f>indtastning!$K$14+A33</f>
        <v>187</v>
      </c>
      <c r="Q33" s="106">
        <f t="shared" si="2"/>
        <v>26.714285714285715</v>
      </c>
      <c r="R33" s="148"/>
      <c r="S33" s="148"/>
      <c r="T33" s="148"/>
    </row>
    <row r="34" spans="1:20" x14ac:dyDescent="0.25">
      <c r="A34" s="150">
        <f t="shared" si="3"/>
        <v>168</v>
      </c>
      <c r="B34" s="15">
        <f>beregningsark!B179</f>
        <v>139.35025082015778</v>
      </c>
      <c r="C34" s="134">
        <f t="shared" si="0"/>
        <v>116.77551018729223</v>
      </c>
      <c r="D34" s="134">
        <f t="shared" si="1"/>
        <v>161.92499145302335</v>
      </c>
      <c r="E34" s="15">
        <f>beregningsark!C179</f>
        <v>1.02</v>
      </c>
      <c r="F34" s="15">
        <f>indtastning!C195</f>
        <v>4</v>
      </c>
      <c r="G34" s="15">
        <f>beregningsark!N179</f>
        <v>4</v>
      </c>
      <c r="H34" s="15">
        <f>beregningsark!J179</f>
        <v>3.4</v>
      </c>
      <c r="I34" s="108">
        <f>beregningsark!U179*1000</f>
        <v>849.09686763382103</v>
      </c>
      <c r="J34" s="108">
        <f>beregningsark!V179</f>
        <v>791.96577869141527</v>
      </c>
      <c r="K34" s="15">
        <f>beregningsark!T179</f>
        <v>4.0042545551661055</v>
      </c>
      <c r="L34" s="15">
        <f>beregningsark!X179</f>
        <v>2.7189427345324546</v>
      </c>
      <c r="M34" s="15">
        <f>indtastning!F195/E34</f>
        <v>1.6666666666666665</v>
      </c>
      <c r="N34" s="15">
        <f>beregningsark!W178</f>
        <v>361.75601279518872</v>
      </c>
      <c r="O34" s="15">
        <f>beregningsark!AD179</f>
        <v>644.002156119647</v>
      </c>
      <c r="P34" s="82">
        <f>indtastning!$K$14+A34</f>
        <v>194</v>
      </c>
      <c r="Q34" s="109">
        <f t="shared" si="2"/>
        <v>27.714285714285715</v>
      </c>
      <c r="R34" s="148"/>
      <c r="S34" s="148"/>
      <c r="T34" s="148"/>
    </row>
    <row r="35" spans="1:20" x14ac:dyDescent="0.25">
      <c r="A35" s="150">
        <f t="shared" si="3"/>
        <v>175</v>
      </c>
      <c r="B35" s="8">
        <f>beregningsark!B186</f>
        <v>145.29001875960358</v>
      </c>
      <c r="C35" s="135">
        <f t="shared" si="0"/>
        <v>121.7530357205478</v>
      </c>
      <c r="D35" s="135">
        <f t="shared" si="1"/>
        <v>168.82700179865935</v>
      </c>
      <c r="E35" s="8">
        <f>beregningsark!C186</f>
        <v>1.02</v>
      </c>
      <c r="F35" s="8">
        <f>indtastning!C202</f>
        <v>4</v>
      </c>
      <c r="G35" s="8">
        <f>beregningsark!N186</f>
        <v>4</v>
      </c>
      <c r="H35" s="8">
        <f>beregningsark!J186</f>
        <v>3.4</v>
      </c>
      <c r="I35" s="9">
        <f>beregningsark!U186*1000</f>
        <v>847.79875328127264</v>
      </c>
      <c r="J35" s="9">
        <f>beregningsark!V186</f>
        <v>794.22867862630608</v>
      </c>
      <c r="K35" s="8">
        <f>beregningsark!T186</f>
        <v>4.0103857039666915</v>
      </c>
      <c r="L35" s="8">
        <f>beregningsark!X186</f>
        <v>2.7739834574887299</v>
      </c>
      <c r="M35" s="8">
        <f>indtastning!F202/E35</f>
        <v>1.6666666666666665</v>
      </c>
      <c r="N35" s="8">
        <f>beregningsark!W185</f>
        <v>385.55601279518856</v>
      </c>
      <c r="O35" s="8">
        <f>beregningsark!AD186</f>
        <v>683.6688227863134</v>
      </c>
      <c r="P35" s="7">
        <f>indtastning!$K$14+A35</f>
        <v>201</v>
      </c>
      <c r="Q35" s="106">
        <f t="shared" si="2"/>
        <v>28.714285714285715</v>
      </c>
      <c r="R35" s="148"/>
      <c r="S35" s="148"/>
      <c r="T35" s="148"/>
    </row>
    <row r="36" spans="1:20" x14ac:dyDescent="0.25">
      <c r="A36" s="150">
        <f t="shared" si="3"/>
        <v>182</v>
      </c>
      <c r="B36" s="8">
        <f>beregningsark!B193</f>
        <v>151.22078131736947</v>
      </c>
      <c r="C36" s="135">
        <f t="shared" si="0"/>
        <v>126.72301474395562</v>
      </c>
      <c r="D36" s="135">
        <f t="shared" si="1"/>
        <v>175.71854789078333</v>
      </c>
      <c r="E36" s="8">
        <f>beregningsark!C193</f>
        <v>1.02</v>
      </c>
      <c r="F36" s="8">
        <f>indtastning!C209</f>
        <v>4</v>
      </c>
      <c r="G36" s="8">
        <f>beregningsark!N193</f>
        <v>4</v>
      </c>
      <c r="H36" s="8">
        <f>beregningsark!J193</f>
        <v>3.4</v>
      </c>
      <c r="I36" s="9">
        <f>beregningsark!U193*1000</f>
        <v>846.52748055830625</v>
      </c>
      <c r="J36" s="9">
        <f>beregningsark!V193</f>
        <v>796.26802921631565</v>
      </c>
      <c r="K36" s="8">
        <f>beregningsark!T193</f>
        <v>4.0164083010720617</v>
      </c>
      <c r="L36" s="8">
        <f>beregningsark!X193</f>
        <v>2.8246881439227041</v>
      </c>
      <c r="M36" s="8">
        <f>indtastning!F209/E36</f>
        <v>1.6666666666666665</v>
      </c>
      <c r="N36" s="8">
        <f>beregningsark!W192</f>
        <v>409.35601279518841</v>
      </c>
      <c r="O36" s="8">
        <f>beregningsark!AD193</f>
        <v>723.3354894529798</v>
      </c>
      <c r="P36" s="7">
        <f>indtastning!$K$14+A36</f>
        <v>208</v>
      </c>
      <c r="Q36" s="106">
        <f t="shared" si="2"/>
        <v>29.714285714285715</v>
      </c>
      <c r="R36" s="148"/>
      <c r="S36" s="148"/>
      <c r="T36" s="148"/>
    </row>
    <row r="37" spans="1:20" x14ac:dyDescent="0.25">
      <c r="A37" s="150">
        <f t="shared" si="3"/>
        <v>189</v>
      </c>
      <c r="B37" s="8">
        <f>beregningsark!B200</f>
        <v>157.10434993028056</v>
      </c>
      <c r="C37" s="135">
        <f t="shared" si="0"/>
        <v>131.65344524157513</v>
      </c>
      <c r="D37" s="135">
        <f t="shared" si="1"/>
        <v>182.555254618986</v>
      </c>
      <c r="E37" s="8">
        <f>beregningsark!C200</f>
        <v>1.02</v>
      </c>
      <c r="F37" s="8">
        <f>indtastning!C216</f>
        <v>4</v>
      </c>
      <c r="G37" s="8">
        <f>beregningsark!N200</f>
        <v>4</v>
      </c>
      <c r="H37" s="8">
        <f>beregningsark!J200</f>
        <v>3.4</v>
      </c>
      <c r="I37" s="9">
        <f>beregningsark!U200*1000</f>
        <v>833.25858105697068</v>
      </c>
      <c r="J37" s="9">
        <f>beregningsark!V200</f>
        <v>797.90661338772782</v>
      </c>
      <c r="K37" s="8">
        <f>beregningsark!T200</f>
        <v>4.0803660199780634</v>
      </c>
      <c r="L37" s="8">
        <f>beregningsark!X200</f>
        <v>2.8723044991437168</v>
      </c>
      <c r="M37" s="8">
        <f>indtastning!F216/E37</f>
        <v>1.6666666666666665</v>
      </c>
      <c r="N37" s="8">
        <f>beregningsark!W199</f>
        <v>433.15601279518825</v>
      </c>
      <c r="O37" s="8">
        <f>beregningsark!AD200</f>
        <v>763.0021561196462</v>
      </c>
      <c r="P37" s="7">
        <f>indtastning!$K$14+A37</f>
        <v>215</v>
      </c>
      <c r="Q37" s="106">
        <f t="shared" si="2"/>
        <v>30.714285714285715</v>
      </c>
      <c r="R37" s="148"/>
      <c r="S37" s="148"/>
      <c r="T37" s="148"/>
    </row>
    <row r="38" spans="1:20" x14ac:dyDescent="0.25">
      <c r="A38" s="150">
        <f t="shared" si="3"/>
        <v>196</v>
      </c>
      <c r="B38" s="15">
        <f>beregningsark!B207</f>
        <v>162.90049388435739</v>
      </c>
      <c r="C38" s="134">
        <f t="shared" si="0"/>
        <v>136.51061387509151</v>
      </c>
      <c r="D38" s="134">
        <f t="shared" si="1"/>
        <v>189.29037389362327</v>
      </c>
      <c r="E38" s="15">
        <f>beregningsark!C207</f>
        <v>1.02</v>
      </c>
      <c r="F38" s="15">
        <f>indtastning!C223</f>
        <v>4</v>
      </c>
      <c r="G38" s="15">
        <f>beregningsark!N207</f>
        <v>4</v>
      </c>
      <c r="H38" s="15">
        <f>beregningsark!J207</f>
        <v>3.4</v>
      </c>
      <c r="I38" s="108">
        <f>beregningsark!U207*1000</f>
        <v>821.11859483458943</v>
      </c>
      <c r="J38" s="108">
        <f>beregningsark!V207</f>
        <v>798.98211165488453</v>
      </c>
      <c r="K38" s="15">
        <f>beregningsark!T207</f>
        <v>4.1406929783205246</v>
      </c>
      <c r="L38" s="15">
        <f>beregningsark!X207</f>
        <v>2.9179729990674881</v>
      </c>
      <c r="M38" s="15">
        <f>indtastning!F223/E38</f>
        <v>1.6666666666666665</v>
      </c>
      <c r="N38" s="15">
        <f>beregningsark!W206</f>
        <v>456.95601279518809</v>
      </c>
      <c r="O38" s="15">
        <f>beregningsark!AD207</f>
        <v>802.6688227863126</v>
      </c>
      <c r="P38" s="82">
        <f>indtastning!$K$14+A38</f>
        <v>222</v>
      </c>
      <c r="Q38" s="109">
        <f t="shared" si="2"/>
        <v>31.714285714285715</v>
      </c>
      <c r="R38" s="148" t="s">
        <v>260</v>
      </c>
      <c r="S38" s="148"/>
      <c r="T38" s="148"/>
    </row>
    <row r="39" spans="1:20" x14ac:dyDescent="0.25">
      <c r="A39" s="150">
        <f t="shared" si="3"/>
        <v>203</v>
      </c>
      <c r="B39" s="8">
        <f>beregningsark!B214</f>
        <v>168.61292772957538</v>
      </c>
      <c r="C39" s="135">
        <f t="shared" si="0"/>
        <v>141.29763343738415</v>
      </c>
      <c r="D39" s="135">
        <f t="shared" si="1"/>
        <v>195.9282220217666</v>
      </c>
      <c r="E39" s="8">
        <f>beregningsark!C214</f>
        <v>1.02</v>
      </c>
      <c r="F39" s="8">
        <f>indtastning!C230</f>
        <v>4</v>
      </c>
      <c r="G39" s="8">
        <f>beregningsark!N214</f>
        <v>4</v>
      </c>
      <c r="H39" s="8">
        <f>beregningsark!J214</f>
        <v>3.4</v>
      </c>
      <c r="I39" s="9">
        <f>beregningsark!U214*1000</f>
        <v>809.39732907867767</v>
      </c>
      <c r="J39" s="9">
        <f>beregningsark!V214</f>
        <v>799.57107255948461</v>
      </c>
      <c r="K39" s="8">
        <f>beregningsark!T214</f>
        <v>4.2006563128521295</v>
      </c>
      <c r="L39" s="8">
        <f>beregningsark!X214</f>
        <v>2.9619083305315081</v>
      </c>
      <c r="M39" s="8">
        <f>indtastning!F230/E39</f>
        <v>1.6666666666666665</v>
      </c>
      <c r="N39" s="8">
        <f>beregningsark!W213</f>
        <v>480.75601279518793</v>
      </c>
      <c r="O39" s="8">
        <f>beregningsark!AD214</f>
        <v>842.335489452979</v>
      </c>
      <c r="P39" s="7">
        <f>indtastning!$K$14+A39</f>
        <v>229</v>
      </c>
      <c r="Q39" s="106">
        <f t="shared" si="2"/>
        <v>32.714285714285715</v>
      </c>
      <c r="R39" s="148" t="s">
        <v>261</v>
      </c>
      <c r="S39" s="148"/>
      <c r="T39" s="148"/>
    </row>
    <row r="40" spans="1:20" x14ac:dyDescent="0.25">
      <c r="A40" s="150">
        <f t="shared" si="3"/>
        <v>210</v>
      </c>
      <c r="B40" s="8">
        <f>beregningsark!B221</f>
        <v>174.24451258657857</v>
      </c>
      <c r="C40" s="135">
        <f t="shared" si="0"/>
        <v>146.01690154755283</v>
      </c>
      <c r="D40" s="135">
        <f t="shared" si="1"/>
        <v>202.4721236256043</v>
      </c>
      <c r="E40" s="8">
        <f>beregningsark!C221</f>
        <v>1.02</v>
      </c>
      <c r="F40" s="8">
        <f>indtastning!C237</f>
        <v>4</v>
      </c>
      <c r="G40" s="8">
        <f>beregningsark!N221</f>
        <v>4</v>
      </c>
      <c r="H40" s="8">
        <f>beregningsark!J221</f>
        <v>3.4</v>
      </c>
      <c r="I40" s="9">
        <f>beregningsark!U221*1000</f>
        <v>798.07180876349753</v>
      </c>
      <c r="J40" s="9">
        <f>beregningsark!V221</f>
        <v>799.73577422180267</v>
      </c>
      <c r="K40" s="8">
        <f>beregningsark!T221</f>
        <v>4.2602682649169532</v>
      </c>
      <c r="L40" s="8">
        <f>beregningsark!X221</f>
        <v>3.004301867469946</v>
      </c>
      <c r="M40" s="8">
        <f>indtastning!F237/E40</f>
        <v>1.6666666666666665</v>
      </c>
      <c r="N40" s="8">
        <f>beregningsark!W220</f>
        <v>504.55601279518777</v>
      </c>
      <c r="O40" s="8">
        <f>beregningsark!AD221</f>
        <v>882.00215611964541</v>
      </c>
      <c r="P40" s="7">
        <f>indtastning!$K$14+A40</f>
        <v>236</v>
      </c>
      <c r="Q40" s="106">
        <f t="shared" si="2"/>
        <v>33.714285714285715</v>
      </c>
      <c r="R40" s="148" t="s">
        <v>262</v>
      </c>
      <c r="S40" s="148"/>
      <c r="T40" s="148"/>
    </row>
    <row r="41" spans="1:20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</row>
    <row r="42" spans="1:20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21"/>
      <c r="K42" s="103"/>
      <c r="L42" s="103"/>
      <c r="M42" s="103"/>
      <c r="N42" s="103"/>
      <c r="O42" s="103"/>
      <c r="P42" s="103"/>
      <c r="Q42" s="103"/>
      <c r="R42" s="103"/>
      <c r="S42" s="103"/>
      <c r="T42" s="103"/>
    </row>
    <row r="43" spans="1:20" x14ac:dyDescent="0.25">
      <c r="A43" s="121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</row>
    <row r="44" spans="1:20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</row>
    <row r="45" spans="1:20" x14ac:dyDescent="0.25">
      <c r="A45" s="119"/>
      <c r="B45" s="106"/>
      <c r="C45" s="106"/>
      <c r="D45" s="106"/>
      <c r="E45" s="106"/>
      <c r="F45" s="106"/>
      <c r="G45" s="106"/>
      <c r="H45" s="106"/>
      <c r="I45" s="133"/>
      <c r="J45" s="133"/>
      <c r="K45" s="106"/>
      <c r="L45" s="106"/>
      <c r="M45" s="106"/>
      <c r="N45" s="106"/>
      <c r="O45" s="106"/>
      <c r="P45" s="106"/>
      <c r="Q45" s="106"/>
      <c r="R45" s="103"/>
      <c r="S45" s="103"/>
      <c r="T45" s="103"/>
    </row>
    <row r="46" spans="1:20" x14ac:dyDescent="0.25">
      <c r="A46" s="130"/>
      <c r="B46" s="8"/>
      <c r="C46" s="8"/>
      <c r="D46" s="8"/>
      <c r="E46" s="8"/>
      <c r="F46" s="8"/>
      <c r="G46" s="8"/>
      <c r="H46" s="8"/>
      <c r="I46" s="9"/>
      <c r="J46" s="9"/>
      <c r="K46" s="8"/>
      <c r="L46" s="8"/>
      <c r="M46" s="8"/>
      <c r="N46" s="8"/>
      <c r="O46" s="8"/>
      <c r="P46" s="8"/>
      <c r="Q46" s="131"/>
    </row>
    <row r="47" spans="1:20" x14ac:dyDescent="0.25">
      <c r="A47" s="130"/>
      <c r="B47" s="8"/>
      <c r="C47" s="8"/>
      <c r="D47" s="8"/>
      <c r="E47" s="8"/>
      <c r="F47" s="8"/>
      <c r="G47" s="8"/>
      <c r="H47" s="8"/>
      <c r="I47" s="9"/>
      <c r="J47" s="9"/>
      <c r="K47" s="8"/>
      <c r="L47" s="8"/>
      <c r="M47" s="8"/>
      <c r="N47" s="8"/>
      <c r="O47" s="8"/>
      <c r="P47" s="8"/>
      <c r="Q47" s="131"/>
    </row>
    <row r="48" spans="1:20" x14ac:dyDescent="0.25">
      <c r="A48" s="130"/>
      <c r="B48" s="8"/>
      <c r="C48" s="8"/>
      <c r="D48" s="8"/>
      <c r="E48" s="8"/>
      <c r="F48" s="8"/>
      <c r="G48" s="8"/>
      <c r="H48" s="8"/>
      <c r="I48" s="9"/>
      <c r="J48" s="9"/>
      <c r="K48" s="8"/>
      <c r="L48" s="8"/>
      <c r="M48" s="8"/>
      <c r="N48" s="8"/>
      <c r="O48" s="8"/>
      <c r="P48" s="8"/>
      <c r="Q48" s="131"/>
    </row>
    <row r="49" spans="1:18" x14ac:dyDescent="0.25">
      <c r="A49" s="130"/>
      <c r="B49" s="8"/>
      <c r="C49" s="8"/>
      <c r="D49" s="8"/>
      <c r="E49" s="8"/>
      <c r="F49" s="8"/>
      <c r="G49" s="8"/>
      <c r="H49" s="8"/>
      <c r="I49" s="9"/>
      <c r="J49" s="9"/>
      <c r="K49" s="8"/>
      <c r="L49" s="8"/>
      <c r="M49" s="8"/>
      <c r="N49" s="8"/>
      <c r="O49" s="8"/>
      <c r="P49" s="8"/>
      <c r="Q49" s="131"/>
    </row>
    <row r="50" spans="1:18" x14ac:dyDescent="0.25">
      <c r="A50" s="130"/>
      <c r="B50" s="8"/>
      <c r="C50" s="8"/>
      <c r="D50" s="8"/>
      <c r="E50" s="8"/>
      <c r="F50" s="8"/>
      <c r="G50" s="8"/>
      <c r="H50" s="8"/>
      <c r="I50" s="9"/>
      <c r="J50" s="9"/>
      <c r="K50" s="8"/>
      <c r="L50" s="8"/>
      <c r="M50" s="8"/>
      <c r="N50" s="8"/>
      <c r="O50" s="8"/>
      <c r="P50" s="8"/>
      <c r="Q50" s="131"/>
    </row>
    <row r="51" spans="1:18" x14ac:dyDescent="0.25">
      <c r="A51" s="130"/>
      <c r="B51" s="8"/>
      <c r="C51" s="8"/>
      <c r="D51" s="8"/>
      <c r="E51" s="8"/>
      <c r="F51" s="8"/>
      <c r="G51" s="8"/>
      <c r="H51" s="8"/>
      <c r="I51" s="9"/>
      <c r="J51" s="9"/>
      <c r="K51" s="8"/>
      <c r="L51" s="8"/>
      <c r="M51" s="8"/>
      <c r="N51" s="8"/>
      <c r="O51" s="8"/>
      <c r="P51" s="8"/>
      <c r="Q51" s="131"/>
    </row>
    <row r="52" spans="1:18" x14ac:dyDescent="0.25">
      <c r="A52" s="130"/>
      <c r="B52" s="8"/>
      <c r="C52" s="8"/>
      <c r="D52" s="8"/>
      <c r="E52" s="8"/>
      <c r="F52" s="8"/>
      <c r="G52" s="8"/>
      <c r="H52" s="8"/>
      <c r="I52" s="9"/>
      <c r="J52" s="9"/>
      <c r="K52" s="8"/>
      <c r="L52" s="8"/>
      <c r="M52" s="8"/>
      <c r="N52" s="8"/>
      <c r="O52" s="8"/>
      <c r="P52" s="8"/>
      <c r="Q52" s="131"/>
    </row>
    <row r="53" spans="1:18" x14ac:dyDescent="0.25">
      <c r="A53" s="130"/>
      <c r="B53" s="8"/>
      <c r="C53" s="8"/>
      <c r="D53" s="8"/>
      <c r="E53" s="8"/>
      <c r="F53" s="8"/>
      <c r="G53" s="8"/>
      <c r="H53" s="8"/>
      <c r="I53" s="9"/>
      <c r="J53" s="9"/>
      <c r="K53" s="8"/>
      <c r="L53" s="8"/>
      <c r="M53" s="8"/>
      <c r="N53" s="8"/>
      <c r="O53" s="8"/>
      <c r="P53" s="8"/>
      <c r="Q53" s="131"/>
    </row>
    <row r="54" spans="1:18" x14ac:dyDescent="0.25">
      <c r="A54" s="130"/>
      <c r="B54" s="8"/>
      <c r="C54" s="8"/>
      <c r="D54" s="8"/>
      <c r="E54" s="8"/>
      <c r="F54" s="8"/>
      <c r="G54" s="8"/>
      <c r="H54" s="8"/>
      <c r="I54" s="9"/>
      <c r="J54" s="9"/>
      <c r="K54" s="8"/>
      <c r="L54" s="8"/>
      <c r="M54" s="8"/>
      <c r="N54" s="8"/>
      <c r="O54" s="8"/>
      <c r="P54" s="8"/>
      <c r="Q54" s="131"/>
      <c r="R54" s="5"/>
    </row>
    <row r="55" spans="1:18" x14ac:dyDescent="0.25">
      <c r="A55" s="130"/>
      <c r="B55" s="8"/>
      <c r="C55" s="8"/>
      <c r="D55" s="8"/>
      <c r="E55" s="8"/>
      <c r="F55" s="8"/>
      <c r="G55" s="8"/>
      <c r="H55" s="8"/>
      <c r="I55" s="9"/>
      <c r="J55" s="9"/>
      <c r="K55" s="8"/>
      <c r="L55" s="8"/>
      <c r="M55" s="8"/>
      <c r="N55" s="8"/>
      <c r="O55" s="8"/>
      <c r="P55" s="8"/>
      <c r="Q55" s="131"/>
    </row>
    <row r="56" spans="1:18" x14ac:dyDescent="0.25">
      <c r="A56" s="130"/>
      <c r="B56" s="8"/>
      <c r="C56" s="8"/>
      <c r="D56" s="8"/>
      <c r="E56" s="8"/>
      <c r="F56" s="8"/>
      <c r="G56" s="8"/>
      <c r="H56" s="8"/>
      <c r="I56" s="9"/>
      <c r="J56" s="9"/>
      <c r="K56" s="8"/>
      <c r="L56" s="8"/>
      <c r="M56" s="8"/>
      <c r="N56" s="8"/>
      <c r="O56" s="8"/>
      <c r="P56" s="8"/>
      <c r="Q56" s="131"/>
    </row>
    <row r="57" spans="1:18" x14ac:dyDescent="0.25">
      <c r="A57" s="130"/>
      <c r="B57" s="8"/>
      <c r="C57" s="8"/>
      <c r="D57" s="8"/>
      <c r="E57" s="8"/>
      <c r="F57" s="8"/>
      <c r="G57" s="8"/>
      <c r="H57" s="8"/>
      <c r="I57" s="9"/>
      <c r="J57" s="9"/>
      <c r="K57" s="8"/>
      <c r="L57" s="8"/>
      <c r="M57" s="8"/>
      <c r="N57" s="8"/>
      <c r="O57" s="8"/>
      <c r="P57" s="8"/>
      <c r="Q57" s="131"/>
    </row>
    <row r="58" spans="1:18" x14ac:dyDescent="0.25">
      <c r="A58" s="130"/>
      <c r="B58" s="8"/>
      <c r="C58" s="8"/>
      <c r="D58" s="8"/>
      <c r="E58" s="8"/>
      <c r="F58" s="8"/>
      <c r="G58" s="8"/>
      <c r="H58" s="8"/>
      <c r="I58" s="9"/>
      <c r="J58" s="9"/>
      <c r="K58" s="8"/>
      <c r="L58" s="8"/>
      <c r="M58" s="8"/>
      <c r="N58" s="8"/>
      <c r="O58" s="8"/>
      <c r="P58" s="8"/>
      <c r="Q58" s="131"/>
    </row>
    <row r="59" spans="1:18" x14ac:dyDescent="0.25">
      <c r="A59" s="130"/>
      <c r="B59" s="8"/>
      <c r="C59" s="8"/>
      <c r="D59" s="8"/>
      <c r="E59" s="8"/>
      <c r="F59" s="8"/>
      <c r="G59" s="8"/>
      <c r="H59" s="8"/>
      <c r="I59" s="9"/>
      <c r="J59" s="9"/>
      <c r="K59" s="8"/>
      <c r="L59" s="8"/>
      <c r="M59" s="8"/>
      <c r="N59" s="8"/>
      <c r="O59" s="8"/>
      <c r="P59" s="8"/>
      <c r="Q59" s="131"/>
    </row>
    <row r="60" spans="1:18" x14ac:dyDescent="0.25">
      <c r="A60" s="130"/>
      <c r="B60" s="8"/>
      <c r="C60" s="8"/>
      <c r="D60" s="8"/>
      <c r="E60" s="8"/>
      <c r="F60" s="8"/>
      <c r="G60" s="8"/>
      <c r="H60" s="8"/>
      <c r="I60" s="9"/>
      <c r="J60" s="9"/>
      <c r="K60" s="8"/>
      <c r="L60" s="8"/>
      <c r="M60" s="8"/>
      <c r="N60" s="8"/>
      <c r="O60" s="8"/>
      <c r="P60" s="8"/>
      <c r="Q60" s="131"/>
    </row>
    <row r="61" spans="1:18" x14ac:dyDescent="0.25">
      <c r="A61" s="130"/>
      <c r="B61" s="8"/>
      <c r="C61" s="8"/>
      <c r="D61" s="8"/>
      <c r="E61" s="8"/>
      <c r="F61" s="8"/>
      <c r="G61" s="8"/>
      <c r="H61" s="8"/>
      <c r="I61" s="9"/>
      <c r="J61" s="9"/>
      <c r="K61" s="8"/>
      <c r="L61" s="8"/>
      <c r="M61" s="8"/>
      <c r="N61" s="8"/>
      <c r="O61" s="8"/>
      <c r="P61" s="8"/>
      <c r="Q61" s="131"/>
    </row>
    <row r="62" spans="1:18" x14ac:dyDescent="0.25">
      <c r="A62" s="130"/>
      <c r="B62" s="8"/>
      <c r="C62" s="8"/>
      <c r="D62" s="8"/>
      <c r="E62" s="8"/>
      <c r="F62" s="8"/>
      <c r="G62" s="8"/>
      <c r="H62" s="8"/>
      <c r="I62" s="9"/>
      <c r="J62" s="9"/>
      <c r="K62" s="8"/>
      <c r="L62" s="8"/>
      <c r="M62" s="8"/>
      <c r="N62" s="8"/>
      <c r="O62" s="8"/>
      <c r="P62" s="8"/>
      <c r="Q62" s="131"/>
    </row>
    <row r="63" spans="1:18" x14ac:dyDescent="0.25">
      <c r="A63" s="130"/>
      <c r="B63" s="8"/>
      <c r="C63" s="8"/>
      <c r="D63" s="8"/>
      <c r="E63" s="8"/>
      <c r="F63" s="8"/>
      <c r="G63" s="8"/>
      <c r="H63" s="8"/>
      <c r="I63" s="9"/>
      <c r="J63" s="9"/>
      <c r="K63" s="8"/>
      <c r="L63" s="8"/>
      <c r="M63" s="8"/>
      <c r="N63" s="8"/>
      <c r="O63" s="8"/>
      <c r="P63" s="8"/>
      <c r="Q63" s="131"/>
    </row>
    <row r="64" spans="1:18" x14ac:dyDescent="0.25">
      <c r="A64" s="130"/>
      <c r="B64" s="8"/>
      <c r="C64" s="8"/>
      <c r="D64" s="8"/>
      <c r="E64" s="8"/>
      <c r="F64" s="8"/>
      <c r="G64" s="8"/>
      <c r="H64" s="8"/>
      <c r="I64" s="9"/>
      <c r="J64" s="9"/>
      <c r="K64" s="8"/>
      <c r="L64" s="8"/>
      <c r="M64" s="8"/>
      <c r="N64" s="8"/>
      <c r="O64" s="8"/>
      <c r="P64" s="8"/>
      <c r="Q64" s="131"/>
    </row>
    <row r="65" spans="1:21" x14ac:dyDescent="0.25">
      <c r="A65" s="130"/>
      <c r="B65" s="8"/>
      <c r="C65" s="8"/>
      <c r="D65" s="8"/>
      <c r="E65" s="8"/>
      <c r="F65" s="8"/>
      <c r="G65" s="8"/>
      <c r="H65" s="8"/>
      <c r="I65" s="9"/>
      <c r="J65" s="9"/>
      <c r="K65" s="8"/>
      <c r="L65" s="8"/>
      <c r="M65" s="8"/>
      <c r="N65" s="8"/>
      <c r="O65" s="8"/>
      <c r="P65" s="8"/>
      <c r="Q65" s="131"/>
    </row>
    <row r="66" spans="1:21" x14ac:dyDescent="0.25">
      <c r="A66" s="130"/>
      <c r="B66" s="8"/>
      <c r="C66" s="8"/>
      <c r="D66" s="8"/>
      <c r="E66" s="8"/>
      <c r="F66" s="8"/>
      <c r="G66" s="8"/>
      <c r="H66" s="8"/>
      <c r="I66" s="9"/>
      <c r="J66" s="9"/>
      <c r="K66" s="8"/>
      <c r="L66" s="8"/>
      <c r="M66" s="8"/>
      <c r="N66" s="8"/>
      <c r="O66" s="8"/>
      <c r="P66" s="8"/>
      <c r="Q66" s="131"/>
    </row>
    <row r="67" spans="1:21" x14ac:dyDescent="0.25">
      <c r="A67" s="130"/>
      <c r="B67" s="8"/>
      <c r="C67" s="8"/>
      <c r="D67" s="8"/>
      <c r="E67" s="8"/>
      <c r="F67" s="8"/>
      <c r="G67" s="8"/>
      <c r="H67" s="8"/>
      <c r="I67" s="9"/>
      <c r="J67" s="9"/>
      <c r="K67" s="8"/>
      <c r="L67" s="8"/>
      <c r="M67" s="8"/>
      <c r="N67" s="8"/>
      <c r="O67" s="8"/>
      <c r="P67" s="8"/>
      <c r="Q67" s="131"/>
    </row>
    <row r="68" spans="1:21" x14ac:dyDescent="0.25">
      <c r="A68" s="130"/>
      <c r="B68" s="8"/>
      <c r="C68" s="8"/>
      <c r="D68" s="8"/>
      <c r="E68" s="8"/>
      <c r="F68" s="8"/>
      <c r="G68" s="8"/>
      <c r="H68" s="8"/>
      <c r="I68" s="9"/>
      <c r="J68" s="9"/>
      <c r="K68" s="8"/>
      <c r="L68" s="8"/>
      <c r="M68" s="8"/>
      <c r="N68" s="8"/>
      <c r="O68" s="8"/>
      <c r="P68" s="8"/>
      <c r="Q68" s="131"/>
    </row>
    <row r="69" spans="1:21" x14ac:dyDescent="0.25">
      <c r="A69" s="130"/>
      <c r="B69" s="8"/>
      <c r="C69" s="8"/>
      <c r="D69" s="8"/>
      <c r="E69" s="8"/>
      <c r="F69" s="8"/>
      <c r="G69" s="8"/>
      <c r="H69" s="8"/>
      <c r="I69" s="9"/>
      <c r="J69" s="9"/>
      <c r="K69" s="8"/>
      <c r="L69" s="8"/>
      <c r="M69" s="8"/>
      <c r="N69" s="8"/>
      <c r="O69" s="8"/>
      <c r="P69" s="8"/>
      <c r="Q69" s="131"/>
    </row>
    <row r="70" spans="1:21" x14ac:dyDescent="0.25">
      <c r="A70" s="130"/>
      <c r="B70" s="8"/>
      <c r="C70" s="8"/>
      <c r="D70" s="8"/>
      <c r="E70" s="8"/>
      <c r="F70" s="8"/>
      <c r="G70" s="8"/>
      <c r="H70" s="8"/>
      <c r="I70" s="9"/>
      <c r="J70" s="9"/>
      <c r="K70" s="8"/>
      <c r="L70" s="8"/>
      <c r="M70" s="8"/>
      <c r="N70" s="8"/>
      <c r="O70" s="8"/>
      <c r="P70" s="8"/>
      <c r="Q70" s="131"/>
    </row>
    <row r="71" spans="1:21" x14ac:dyDescent="0.25">
      <c r="A71" s="130"/>
      <c r="B71" s="8"/>
      <c r="C71" s="8"/>
      <c r="D71" s="8"/>
      <c r="E71" s="8"/>
      <c r="F71" s="8"/>
      <c r="G71" s="8"/>
      <c r="H71" s="8"/>
      <c r="I71" s="9"/>
      <c r="J71" s="9"/>
      <c r="K71" s="8"/>
      <c r="L71" s="8"/>
      <c r="M71" s="8"/>
      <c r="N71" s="8"/>
      <c r="O71" s="8"/>
      <c r="P71" s="8"/>
      <c r="Q71" s="131"/>
    </row>
    <row r="72" spans="1:21" x14ac:dyDescent="0.25">
      <c r="A72" s="130"/>
      <c r="B72" s="8"/>
      <c r="C72" s="8"/>
      <c r="D72" s="8"/>
      <c r="E72" s="8"/>
      <c r="F72" s="8"/>
      <c r="G72" s="8"/>
      <c r="H72" s="8"/>
      <c r="I72" s="9"/>
      <c r="J72" s="9"/>
      <c r="K72" s="8"/>
      <c r="L72" s="8"/>
      <c r="M72" s="8"/>
      <c r="N72" s="8"/>
      <c r="O72" s="8"/>
      <c r="P72" s="8"/>
      <c r="Q72" s="131"/>
    </row>
    <row r="73" spans="1:21" x14ac:dyDescent="0.25">
      <c r="A73" s="130"/>
      <c r="B73" s="8"/>
      <c r="C73" s="8"/>
      <c r="D73" s="8"/>
      <c r="E73" s="8"/>
      <c r="F73" s="8"/>
      <c r="G73" s="8"/>
      <c r="H73" s="8"/>
      <c r="I73" s="9"/>
      <c r="J73" s="9"/>
      <c r="K73" s="8"/>
      <c r="L73" s="8"/>
      <c r="M73" s="8"/>
      <c r="N73" s="8"/>
      <c r="O73" s="8"/>
      <c r="P73" s="8"/>
      <c r="Q73" s="131"/>
    </row>
    <row r="74" spans="1:21" x14ac:dyDescent="0.25">
      <c r="A74" s="130"/>
      <c r="B74" s="8"/>
      <c r="C74" s="8"/>
      <c r="D74" s="8"/>
      <c r="E74" s="8"/>
      <c r="F74" s="8"/>
      <c r="G74" s="8"/>
      <c r="H74" s="8"/>
      <c r="I74" s="9"/>
      <c r="J74" s="9"/>
      <c r="K74" s="8"/>
      <c r="L74" s="8"/>
      <c r="M74" s="8"/>
      <c r="N74" s="8"/>
      <c r="O74" s="8"/>
      <c r="P74" s="8"/>
      <c r="Q74" s="131"/>
    </row>
    <row r="75" spans="1:21" x14ac:dyDescent="0.25">
      <c r="A75" s="130"/>
      <c r="B75" s="8"/>
      <c r="C75" s="8"/>
      <c r="D75" s="8"/>
      <c r="E75" s="8"/>
      <c r="F75" s="8"/>
      <c r="G75" s="8"/>
      <c r="H75" s="8"/>
      <c r="I75" s="9"/>
      <c r="J75" s="9"/>
      <c r="K75" s="8"/>
      <c r="L75" s="8"/>
      <c r="M75" s="8"/>
      <c r="N75" s="8"/>
      <c r="O75" s="8"/>
      <c r="P75" s="8"/>
      <c r="Q75" s="131"/>
    </row>
    <row r="76" spans="1:21" x14ac:dyDescent="0.25">
      <c r="A76" s="130"/>
      <c r="B76" s="8"/>
      <c r="C76" s="8"/>
      <c r="D76" s="8"/>
      <c r="E76" s="8"/>
      <c r="F76" s="8"/>
      <c r="G76" s="8"/>
      <c r="H76" s="8"/>
      <c r="I76" s="9"/>
      <c r="J76" s="9"/>
      <c r="K76" s="8"/>
      <c r="L76" s="8"/>
      <c r="M76" s="8"/>
      <c r="N76" s="8"/>
      <c r="O76" s="8"/>
      <c r="P76" s="8"/>
      <c r="Q76" s="131"/>
    </row>
    <row r="77" spans="1:21" x14ac:dyDescent="0.25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</row>
    <row r="78" spans="1:21" x14ac:dyDescent="0.25">
      <c r="A78" s="118"/>
      <c r="B78" s="118"/>
      <c r="C78" s="118"/>
      <c r="D78" s="118"/>
      <c r="E78" s="118"/>
      <c r="F78" s="118"/>
      <c r="G78" s="118"/>
      <c r="H78" s="118"/>
      <c r="I78" s="118"/>
      <c r="J78" s="132"/>
      <c r="K78" s="118"/>
      <c r="L78" s="118"/>
      <c r="M78" s="118"/>
      <c r="N78" s="118"/>
      <c r="O78" s="118"/>
      <c r="P78" s="118"/>
      <c r="Q78" s="118"/>
    </row>
    <row r="79" spans="1:21" x14ac:dyDescent="0.25">
      <c r="A79" s="132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</row>
    <row r="80" spans="1:21" x14ac:dyDescent="0.25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U80" s="5"/>
    </row>
    <row r="83" spans="1:4" x14ac:dyDescent="0.25">
      <c r="A83" s="7"/>
      <c r="B83" s="8"/>
      <c r="C83" s="8"/>
      <c r="D83" s="8"/>
    </row>
    <row r="84" spans="1:4" x14ac:dyDescent="0.25">
      <c r="A84" s="7"/>
      <c r="B84" s="8"/>
      <c r="C84" s="8"/>
      <c r="D84" s="8"/>
    </row>
    <row r="85" spans="1:4" x14ac:dyDescent="0.25">
      <c r="A85" s="7"/>
      <c r="B85" s="8"/>
      <c r="C85" s="8"/>
      <c r="D85" s="8"/>
    </row>
    <row r="86" spans="1:4" x14ac:dyDescent="0.25">
      <c r="A86" s="7"/>
      <c r="B86" s="8"/>
      <c r="C86" s="8"/>
      <c r="D86" s="8"/>
    </row>
    <row r="87" spans="1:4" x14ac:dyDescent="0.25">
      <c r="A87" s="7"/>
      <c r="B87" s="8"/>
      <c r="C87" s="8"/>
      <c r="D87" s="8"/>
    </row>
    <row r="88" spans="1:4" x14ac:dyDescent="0.25">
      <c r="A88" s="7"/>
      <c r="B88" s="8"/>
      <c r="C88" s="8"/>
      <c r="D88" s="8"/>
    </row>
    <row r="89" spans="1:4" x14ac:dyDescent="0.25">
      <c r="A89" s="7"/>
      <c r="B89" s="8"/>
      <c r="C89" s="8"/>
      <c r="D89" s="8"/>
    </row>
    <row r="90" spans="1:4" x14ac:dyDescent="0.25">
      <c r="A90" s="7"/>
      <c r="B90" s="8"/>
      <c r="C90" s="8"/>
      <c r="D90" s="8"/>
    </row>
    <row r="91" spans="1:4" x14ac:dyDescent="0.25">
      <c r="A91" s="7"/>
      <c r="B91" s="8"/>
      <c r="C91" s="8"/>
      <c r="D91" s="8"/>
    </row>
    <row r="92" spans="1:4" x14ac:dyDescent="0.25">
      <c r="A92" s="7"/>
      <c r="B92" s="8"/>
      <c r="C92" s="8"/>
      <c r="D92" s="8"/>
    </row>
    <row r="93" spans="1:4" x14ac:dyDescent="0.25">
      <c r="A93" s="7"/>
      <c r="B93" s="8"/>
      <c r="C93" s="8"/>
      <c r="D93" s="8"/>
    </row>
    <row r="94" spans="1:4" x14ac:dyDescent="0.25">
      <c r="A94" s="7"/>
      <c r="B94" s="8"/>
      <c r="C94" s="8"/>
      <c r="D94" s="8"/>
    </row>
    <row r="95" spans="1:4" x14ac:dyDescent="0.25">
      <c r="A95" s="7"/>
      <c r="B95" s="8"/>
      <c r="C95" s="8"/>
      <c r="D95" s="8"/>
    </row>
    <row r="96" spans="1:4" x14ac:dyDescent="0.25">
      <c r="A96" s="7"/>
      <c r="B96" s="8"/>
      <c r="C96" s="8"/>
      <c r="D96" s="8"/>
    </row>
    <row r="97" spans="1:4" x14ac:dyDescent="0.25">
      <c r="A97" s="7"/>
      <c r="B97" s="8"/>
      <c r="C97" s="8"/>
      <c r="D97" s="8"/>
    </row>
  </sheetData>
  <sheetProtection algorithmName="SHA-512" hashValue="zKkhmLVeXhHjhTotcr1ZMlUUINiCXVWPXJ5QkEhjIus0b/xv4o4JpbE4u+oFoANgksfna0Dlv7xu3dVlonljjg==" saltValue="FYeRhuVKFOnJulwtMv80Aw==" spinCount="100000" sheet="1" objects="1" scenarios="1"/>
  <phoneticPr fontId="8" type="noConversion"/>
  <hyperlinks>
    <hyperlink ref="R8" r:id="rId1" display="pet@seges.dk" xr:uid="{7B541710-7597-4487-B53F-9E6A4C4EE796}"/>
  </hyperlinks>
  <pageMargins left="0.70866141732283472" right="0.70866141732283472" top="0.74803149606299213" bottom="0.74803149606299213" header="0.31496062992125984" footer="0.31496062992125984"/>
  <pageSetup paperSize="9" scale="8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47"/>
  <sheetViews>
    <sheetView workbookViewId="0">
      <pane ySplit="10" topLeftCell="A53" activePane="bottomLeft" state="frozen"/>
      <selection pane="bottomLeft" activeCell="S5" sqref="S5"/>
    </sheetView>
  </sheetViews>
  <sheetFormatPr defaultRowHeight="15" x14ac:dyDescent="0.25"/>
  <cols>
    <col min="1" max="1" width="6.28515625" customWidth="1"/>
    <col min="2" max="2" width="7.7109375" customWidth="1"/>
    <col min="3" max="4" width="8" customWidth="1"/>
    <col min="8" max="8" width="8.28515625" customWidth="1"/>
    <col min="12" max="13" width="9.7109375" customWidth="1"/>
    <col min="22" max="22" width="9.5703125" customWidth="1"/>
    <col min="38" max="38" width="12.7109375" bestFit="1" customWidth="1"/>
    <col min="39" max="39" width="12.7109375" customWidth="1"/>
  </cols>
  <sheetData>
    <row r="1" spans="1:44" x14ac:dyDescent="0.25">
      <c r="A1" s="27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</row>
    <row r="2" spans="1:44" x14ac:dyDescent="0.25">
      <c r="A2" s="28" t="s">
        <v>64</v>
      </c>
      <c r="B2" s="28"/>
      <c r="C2" s="28"/>
      <c r="D2" s="28"/>
      <c r="E2" s="28"/>
      <c r="F2" s="28"/>
      <c r="G2" s="28"/>
      <c r="H2" s="28"/>
      <c r="I2" s="38">
        <f>indtastning!G7</f>
        <v>1.63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9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x14ac:dyDescent="0.25">
      <c r="A3" s="28" t="s">
        <v>63</v>
      </c>
      <c r="B3" s="28"/>
      <c r="C3" s="28"/>
      <c r="D3" s="28"/>
      <c r="E3" s="28"/>
      <c r="F3" s="28"/>
      <c r="G3" s="28"/>
      <c r="H3" s="28"/>
      <c r="I3" s="38">
        <f>indtastning!G8</f>
        <v>2.48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</row>
    <row r="4" spans="1:44" x14ac:dyDescent="0.25">
      <c r="A4" s="28" t="s">
        <v>56</v>
      </c>
      <c r="B4" s="28"/>
      <c r="C4" s="28"/>
      <c r="D4" s="28"/>
      <c r="E4" s="28"/>
      <c r="F4" s="28"/>
      <c r="G4" s="28"/>
      <c r="H4" s="28"/>
      <c r="I4" s="30">
        <f>(I3-I2)/54</f>
        <v>1.5740740740740743E-2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30"/>
      <c r="AB4" s="30"/>
      <c r="AC4" s="30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</row>
    <row r="5" spans="1:44" x14ac:dyDescent="0.25">
      <c r="A5" s="28" t="s">
        <v>57</v>
      </c>
      <c r="B5" s="28"/>
      <c r="C5" s="28"/>
      <c r="D5" s="28"/>
      <c r="E5" s="28"/>
      <c r="F5" s="28"/>
      <c r="G5" s="28"/>
      <c r="H5" s="28"/>
      <c r="I5" s="30">
        <f>I2-18.5*I4</f>
        <v>1.3387962962962963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30"/>
      <c r="AB5" s="30"/>
      <c r="AC5" s="30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</row>
    <row r="6" spans="1:44" x14ac:dyDescent="0.25">
      <c r="A6" s="31" t="s">
        <v>37</v>
      </c>
      <c r="B6" s="31"/>
      <c r="C6" s="31"/>
      <c r="D6" s="31"/>
      <c r="E6" s="31"/>
      <c r="F6" s="31"/>
      <c r="G6" s="28"/>
      <c r="H6" s="28"/>
      <c r="I6" s="32"/>
      <c r="J6" s="28"/>
      <c r="K6" s="33">
        <f>indtastning!G6</f>
        <v>1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30"/>
      <c r="AB6" s="30"/>
      <c r="AC6" s="30"/>
      <c r="AD6" s="28"/>
      <c r="AE6" s="28"/>
      <c r="AF6" s="28"/>
      <c r="AG6" s="28"/>
      <c r="AH6" s="28"/>
      <c r="AI6" s="28"/>
      <c r="AJ6" s="28"/>
      <c r="AK6" s="28" t="s">
        <v>272</v>
      </c>
      <c r="AL6" s="28"/>
      <c r="AM6" s="28"/>
      <c r="AN6" s="28"/>
      <c r="AO6" s="28"/>
      <c r="AP6" s="28"/>
      <c r="AQ6" s="28"/>
      <c r="AR6" s="28"/>
    </row>
    <row r="7" spans="1:44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 t="s">
        <v>42</v>
      </c>
      <c r="M7" s="28"/>
      <c r="N7" s="28"/>
      <c r="O7" s="28" t="s">
        <v>34</v>
      </c>
      <c r="P7" s="28" t="s">
        <v>68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 t="s">
        <v>43</v>
      </c>
      <c r="AG7" s="28"/>
      <c r="AH7" s="28"/>
      <c r="AI7" s="28"/>
      <c r="AJ7" s="28"/>
      <c r="AK7" s="28" t="s">
        <v>273</v>
      </c>
      <c r="AL7" s="28"/>
      <c r="AM7" s="28"/>
      <c r="AN7" s="28" t="s">
        <v>75</v>
      </c>
      <c r="AO7" s="28"/>
      <c r="AP7" s="28"/>
      <c r="AQ7" s="28"/>
      <c r="AR7" s="28"/>
    </row>
    <row r="8" spans="1:44" x14ac:dyDescent="0.25">
      <c r="A8" s="28"/>
      <c r="B8" s="28" t="s">
        <v>1</v>
      </c>
      <c r="C8" s="28"/>
      <c r="D8" s="34" t="s">
        <v>62</v>
      </c>
      <c r="E8" s="34"/>
      <c r="F8" s="34"/>
      <c r="G8" s="35" t="s">
        <v>61</v>
      </c>
      <c r="H8" s="28" t="s">
        <v>233</v>
      </c>
      <c r="I8" s="28"/>
      <c r="J8" s="28"/>
      <c r="K8" s="28" t="s">
        <v>6</v>
      </c>
      <c r="L8" s="28" t="s">
        <v>12</v>
      </c>
      <c r="M8" s="28" t="s">
        <v>33</v>
      </c>
      <c r="N8" s="28" t="s">
        <v>9</v>
      </c>
      <c r="O8" s="28" t="s">
        <v>12</v>
      </c>
      <c r="P8" s="28" t="s">
        <v>69</v>
      </c>
      <c r="Q8" s="28" t="s">
        <v>71</v>
      </c>
      <c r="R8" s="28" t="s">
        <v>73</v>
      </c>
      <c r="S8" s="28" t="s">
        <v>15</v>
      </c>
      <c r="T8" s="28" t="s">
        <v>18</v>
      </c>
      <c r="U8" s="28" t="s">
        <v>19</v>
      </c>
      <c r="V8" s="28" t="s">
        <v>21</v>
      </c>
      <c r="W8" s="28" t="s">
        <v>23</v>
      </c>
      <c r="X8" s="28" t="s">
        <v>18</v>
      </c>
      <c r="Y8" s="28" t="s">
        <v>31</v>
      </c>
      <c r="Z8" s="28" t="s">
        <v>29</v>
      </c>
      <c r="AA8" s="28" t="s">
        <v>36</v>
      </c>
      <c r="AB8" s="28"/>
      <c r="AC8" s="28" t="s">
        <v>101</v>
      </c>
      <c r="AD8" s="28"/>
      <c r="AE8" s="28" t="s">
        <v>47</v>
      </c>
      <c r="AF8" s="28" t="s">
        <v>46</v>
      </c>
      <c r="AG8" s="28"/>
      <c r="AH8" s="28"/>
      <c r="AI8" s="31">
        <f>indtastning!G9</f>
        <v>1</v>
      </c>
      <c r="AJ8" s="28"/>
      <c r="AK8" s="28" t="s">
        <v>274</v>
      </c>
      <c r="AL8" s="28" t="s">
        <v>275</v>
      </c>
      <c r="AM8" s="28" t="s">
        <v>30</v>
      </c>
      <c r="AN8" s="28" t="s">
        <v>47</v>
      </c>
      <c r="AO8" s="28"/>
      <c r="AP8" s="28"/>
      <c r="AQ8" s="28"/>
      <c r="AR8" s="28"/>
    </row>
    <row r="9" spans="1:44" x14ac:dyDescent="0.25">
      <c r="A9" s="28"/>
      <c r="B9" s="28" t="s">
        <v>24</v>
      </c>
      <c r="C9" s="28" t="s">
        <v>18</v>
      </c>
      <c r="D9" s="34" t="s">
        <v>60</v>
      </c>
      <c r="E9" s="34" t="s">
        <v>60</v>
      </c>
      <c r="F9" s="34" t="s">
        <v>60</v>
      </c>
      <c r="G9" s="35" t="s">
        <v>47</v>
      </c>
      <c r="H9" s="28" t="s">
        <v>2</v>
      </c>
      <c r="I9" s="28" t="s">
        <v>4</v>
      </c>
      <c r="J9" s="28" t="s">
        <v>5</v>
      </c>
      <c r="K9" s="28" t="s">
        <v>7</v>
      </c>
      <c r="L9" s="28" t="s">
        <v>28</v>
      </c>
      <c r="M9" s="28" t="s">
        <v>12</v>
      </c>
      <c r="N9" s="28" t="s">
        <v>10</v>
      </c>
      <c r="O9" s="28" t="s">
        <v>13</v>
      </c>
      <c r="P9" s="28" t="s">
        <v>70</v>
      </c>
      <c r="Q9" s="28" t="s">
        <v>72</v>
      </c>
      <c r="R9" s="28" t="s">
        <v>74</v>
      </c>
      <c r="S9" s="28" t="s">
        <v>16</v>
      </c>
      <c r="T9" s="28" t="s">
        <v>17</v>
      </c>
      <c r="U9" s="28" t="s">
        <v>8</v>
      </c>
      <c r="V9" s="28" t="s">
        <v>22</v>
      </c>
      <c r="W9" s="28" t="s">
        <v>22</v>
      </c>
      <c r="X9" s="28" t="s">
        <v>17</v>
      </c>
      <c r="Y9" s="28" t="s">
        <v>32</v>
      </c>
      <c r="Z9" s="28" t="s">
        <v>9</v>
      </c>
      <c r="AA9" s="28" t="s">
        <v>29</v>
      </c>
      <c r="AB9" s="28" t="s">
        <v>97</v>
      </c>
      <c r="AC9" s="28" t="s">
        <v>100</v>
      </c>
      <c r="AD9" s="28" t="s">
        <v>98</v>
      </c>
      <c r="AE9" s="28" t="s">
        <v>24</v>
      </c>
      <c r="AF9" s="28" t="s">
        <v>45</v>
      </c>
      <c r="AG9" s="28" t="s">
        <v>44</v>
      </c>
      <c r="AH9" s="28" t="s">
        <v>49</v>
      </c>
      <c r="AI9" s="36">
        <v>8.49</v>
      </c>
      <c r="AJ9" s="36">
        <v>5.5</v>
      </c>
      <c r="AK9" s="36">
        <v>4.5</v>
      </c>
      <c r="AL9" s="28" t="s">
        <v>277</v>
      </c>
      <c r="AM9" s="28" t="s">
        <v>276</v>
      </c>
      <c r="AN9" s="28" t="s">
        <v>28</v>
      </c>
      <c r="AO9" s="28"/>
      <c r="AP9" s="28" t="s">
        <v>77</v>
      </c>
      <c r="AQ9" s="28"/>
      <c r="AR9" s="28"/>
    </row>
    <row r="10" spans="1:44" x14ac:dyDescent="0.25">
      <c r="A10" s="28" t="s">
        <v>0</v>
      </c>
      <c r="B10" s="28" t="s">
        <v>25</v>
      </c>
      <c r="C10" s="28" t="s">
        <v>59</v>
      </c>
      <c r="D10" s="34" t="s">
        <v>94</v>
      </c>
      <c r="E10" s="34" t="s">
        <v>95</v>
      </c>
      <c r="F10" s="34" t="s">
        <v>96</v>
      </c>
      <c r="G10" s="35" t="s">
        <v>60</v>
      </c>
      <c r="H10" s="28" t="s">
        <v>3</v>
      </c>
      <c r="I10" s="28" t="s">
        <v>3</v>
      </c>
      <c r="J10" s="28" t="s">
        <v>3</v>
      </c>
      <c r="K10" s="28" t="s">
        <v>8</v>
      </c>
      <c r="L10" s="28" t="s">
        <v>20</v>
      </c>
      <c r="M10" s="28"/>
      <c r="N10" s="28" t="s">
        <v>11</v>
      </c>
      <c r="O10" s="28" t="s">
        <v>14</v>
      </c>
      <c r="P10" s="28" t="s">
        <v>17</v>
      </c>
      <c r="Q10" s="28" t="s">
        <v>68</v>
      </c>
      <c r="R10" s="28" t="s">
        <v>68</v>
      </c>
      <c r="S10" s="28" t="s">
        <v>17</v>
      </c>
      <c r="T10" s="28" t="s">
        <v>5</v>
      </c>
      <c r="U10" s="28" t="s">
        <v>39</v>
      </c>
      <c r="V10" s="28" t="s">
        <v>40</v>
      </c>
      <c r="W10" s="28" t="s">
        <v>26</v>
      </c>
      <c r="X10" s="28" t="s">
        <v>22</v>
      </c>
      <c r="Y10" s="28"/>
      <c r="Z10" s="28" t="s">
        <v>30</v>
      </c>
      <c r="AA10" s="28"/>
      <c r="AB10" s="28" t="s">
        <v>23</v>
      </c>
      <c r="AC10" s="28" t="s">
        <v>53</v>
      </c>
      <c r="AD10" s="28" t="s">
        <v>99</v>
      </c>
      <c r="AE10" s="28" t="s">
        <v>48</v>
      </c>
      <c r="AF10" s="28">
        <v>1</v>
      </c>
      <c r="AG10" s="28">
        <v>2</v>
      </c>
      <c r="AH10" s="28">
        <v>3</v>
      </c>
      <c r="AI10" s="28">
        <v>4</v>
      </c>
      <c r="AJ10" s="28">
        <v>5</v>
      </c>
      <c r="AK10" s="28"/>
      <c r="AL10" s="28">
        <v>6</v>
      </c>
      <c r="AM10" s="28"/>
      <c r="AN10" s="28">
        <v>7</v>
      </c>
      <c r="AO10" s="28"/>
      <c r="AP10" s="28" t="s">
        <v>76</v>
      </c>
      <c r="AQ10" s="28"/>
      <c r="AR10" s="28"/>
    </row>
    <row r="11" spans="1:44" x14ac:dyDescent="0.25">
      <c r="A11" s="37">
        <v>0</v>
      </c>
      <c r="B11" s="38">
        <f>indtastning!H27</f>
        <v>6.3</v>
      </c>
      <c r="C11" s="39">
        <f>indtastning!E27</f>
        <v>1.1499999999999999</v>
      </c>
      <c r="D11" s="40">
        <f>IF(C11&gt;1.16,1,IF(C11&gt;1.1,1-(1.16-C11)*0.5,IF(C11&gt;1.05,0.967-(1.1-C11)*0.9,IF(C11&gt;1,0.92-(1.05-C11)*1.1,IF(C11&lt;1.01,0.86-(1-C11)*1.5,0.8)))))</f>
        <v>0.995</v>
      </c>
      <c r="E11" s="40">
        <f t="shared" ref="E11:E74" si="0">IF(C11&gt;1.12,1,IF(C11&gt;1.1,1-(1.12-C11)*0.5,IF(C11&gt;1.05,0.99-(1.1-C11)*0.8,IF(C11&gt;1,0.95-(1.05-C11)*1.1,IF(C11&lt;1.01,0.9-(1-C11)*1.4,0.8)))))</f>
        <v>1</v>
      </c>
      <c r="F11" s="40">
        <f>IF(C11&gt;1.12,1,IF(C11&gt;1.07,1,IF(C11&gt;1.02,1-(1.07-C11)*0.3,IF(C11&gt;0.98,0.985-(1.02-C11)*0.8,IF(C11&lt;0.9801,0.97-(1-C11)*1.1,0.8)))))</f>
        <v>1</v>
      </c>
      <c r="G11" s="40">
        <f>IF(B11&lt;10.01,D11, IF(B11&lt;20.01,D11+(B11-10)/10*(E11-D11),IF(B11&lt;50.01,E11,IF(B11&lt;100.01,F11+(100-B11)/50*(E11-F11),F11))))</f>
        <v>0.995</v>
      </c>
      <c r="H11" s="41">
        <f t="shared" ref="H11:H16" si="1">(B11*0.0627-B11*B11*0.00022)*$K$6*(IF(Z11&lt;15.4,0.999,IF(Z11&lt;15.7,1,IF(Z11&lt;16.5,1,1))))*AE11*G11</f>
        <v>3.3453597672993308E-2</v>
      </c>
      <c r="I11" s="39">
        <f>IF(indtastning!J$23&gt;4.9,5,IF(indtastning!J$23&lt;indtastning!G27,indtastning!J$23,indtastning!G27))</f>
        <v>1.5</v>
      </c>
      <c r="J11" s="39">
        <f>IF(I11&lt;H11,I11,H11)</f>
        <v>3.3453597672993308E-2</v>
      </c>
      <c r="K11" s="42">
        <f>$I$5+$I$4*B11</f>
        <v>1.4379629629629629</v>
      </c>
      <c r="L11" s="42">
        <v>1</v>
      </c>
      <c r="M11" s="42">
        <f>K11*L11</f>
        <v>1.4379629629629629</v>
      </c>
      <c r="N11" s="39">
        <f>indtastning!D27</f>
        <v>9.6999999999999993</v>
      </c>
      <c r="O11" s="39">
        <f>M11*N11</f>
        <v>13.948240740740738</v>
      </c>
      <c r="P11" s="39">
        <f>15.05+0.05*POWER(B11,0.6)</f>
        <v>15.200860080112891</v>
      </c>
      <c r="Q11" s="39">
        <f>P11-2</f>
        <v>13.200860080112891</v>
      </c>
      <c r="R11" s="39">
        <f t="shared" ref="R11:R29" si="2">19.8+0.1*POWER(B11,0.5)</f>
        <v>20.050998007960224</v>
      </c>
      <c r="S11" s="41">
        <f>IF(O11&lt;Q11,P11,IF(O11&lt;R11,P11+(O11-13.2)*0.705-(B11-7)*0.004,O11))</f>
        <v>15.731169802335113</v>
      </c>
      <c r="T11" s="42">
        <f>S11/N11</f>
        <v>1.6217700827149604</v>
      </c>
      <c r="U11" s="42">
        <f>J11/T11</f>
        <v>2.0627830066386209E-2</v>
      </c>
      <c r="V11" s="37"/>
      <c r="W11" s="39">
        <f>J11</f>
        <v>3.3453597672993308E-2</v>
      </c>
      <c r="X11" s="37" t="s">
        <v>27</v>
      </c>
      <c r="Y11" s="37"/>
      <c r="Z11" s="37" t="s">
        <v>8</v>
      </c>
      <c r="AA11" s="37"/>
      <c r="AB11" s="39">
        <f>indtastning!F27/indtastning!E27</f>
        <v>3.0434782608695654</v>
      </c>
      <c r="AC11" s="37"/>
      <c r="AD11" s="37"/>
      <c r="AE11" s="42">
        <f>IF($B$11&lt;8.5,AN11,IF($B$11&lt;12,AH11,IF($AI$8=1,AF11,AG11)))</f>
        <v>8.70401337792642E-2</v>
      </c>
      <c r="AF11" s="28">
        <v>0.75</v>
      </c>
      <c r="AG11" s="28">
        <v>0.6</v>
      </c>
      <c r="AH11" s="28">
        <v>0.5</v>
      </c>
      <c r="AI11" s="43">
        <v>0.12</v>
      </c>
      <c r="AJ11" s="43">
        <f>(AI11+AK11)/2</f>
        <v>7.4999999999999997E-2</v>
      </c>
      <c r="AK11" s="43">
        <v>0.03</v>
      </c>
      <c r="AL11" s="40">
        <f>(AI11-AJ11)/(AI$9-AJ$9)</f>
        <v>1.5050167224080266E-2</v>
      </c>
      <c r="AM11" s="40">
        <f>(AJ11-AK11)</f>
        <v>4.4999999999999998E-2</v>
      </c>
      <c r="AN11" s="50">
        <f>IF(B$11&lt;5.5, AK11+($B$11-AK$9)*AM11, IF(B$11&lt;8.5,AJ11+(B$11-AJ$9)*AL11,"Startvægt &gt; 8,5"))</f>
        <v>8.70401337792642E-2</v>
      </c>
      <c r="AO11" s="28"/>
      <c r="AP11" s="28">
        <v>0.1</v>
      </c>
      <c r="AQ11" s="28"/>
      <c r="AR11" s="28"/>
    </row>
    <row r="12" spans="1:44" x14ac:dyDescent="0.25">
      <c r="A12" s="28">
        <v>1</v>
      </c>
      <c r="B12" s="41">
        <f>B11+U11</f>
        <v>6.3206278300663863</v>
      </c>
      <c r="C12" s="41">
        <f>indtastning!E28</f>
        <v>1.1499999999999999</v>
      </c>
      <c r="D12" s="40">
        <f t="shared" ref="D12:D75" si="3">IF(C12&gt;1.16,1,IF(C12&gt;1.1,1-(1.16-C12)*0.5,IF(C12&gt;1.05,0.967-(1.1-C12)*0.9,IF(C12&gt;1,0.92-(1.05-C12)*1.1,IF(C12&lt;1.01,0.86-(1-C12)*1.5,0.8)))))</f>
        <v>0.995</v>
      </c>
      <c r="E12" s="40">
        <f t="shared" si="0"/>
        <v>1</v>
      </c>
      <c r="F12" s="40">
        <f t="shared" ref="F12:F75" si="4">IF(C12&gt;1.12,1,IF(C12&gt;1.07,1,IF(C12&gt;1.02,1-(1.07-C12)*0.3,IF(C12&gt;0.98,0.985-(1.02-C12)*0.8,IF(C12&lt;0.9801,0.97-(1-C12)*1.1,0.8)))))</f>
        <v>1</v>
      </c>
      <c r="G12" s="40">
        <f t="shared" ref="G12:G75" si="5">IF(B12&lt;10.01,D12, IF(B12&lt;20.01,D12+(B12-10)/10*(E12-D12),IF(B12&lt;50.01,E12,IF(B12&lt;100.01,F12+(100-B12)/50*(E12-F12),F12))))</f>
        <v>0.995</v>
      </c>
      <c r="H12" s="41">
        <f t="shared" si="1"/>
        <v>4.9965346067042241E-2</v>
      </c>
      <c r="I12" s="39">
        <f>IF(indtastning!J$23&gt;4.9,5,IF(indtastning!J$23&lt;indtastning!G28,indtastning!J$23,indtastning!G28))</f>
        <v>1.5</v>
      </c>
      <c r="J12" s="41">
        <f>IF(I12&lt;H12,I12,H12)</f>
        <v>4.9965346067042241E-2</v>
      </c>
      <c r="K12" s="40">
        <f t="shared" ref="K12:K75" si="6">$I$5+$I$4*B12</f>
        <v>1.4382876602880821</v>
      </c>
      <c r="L12" s="40">
        <v>1</v>
      </c>
      <c r="M12" s="40">
        <f t="shared" ref="M12:M75" si="7">K12*L12</f>
        <v>1.4382876602880821</v>
      </c>
      <c r="N12" s="41">
        <f>indtastning!D28</f>
        <v>9.6999999999999993</v>
      </c>
      <c r="O12" s="41">
        <f t="shared" ref="O12:O75" si="8">M12*N12</f>
        <v>13.951390304794396</v>
      </c>
      <c r="P12" s="39">
        <f t="shared" ref="P12:P75" si="9">15.05+0.05*POWER(B12,0.6)</f>
        <v>15.201156259290068</v>
      </c>
      <c r="Q12" s="39">
        <f t="shared" ref="Q12:Q75" si="10">P12-2</f>
        <v>13.201156259290068</v>
      </c>
      <c r="R12" s="39">
        <f t="shared" si="2"/>
        <v>20.051408588358999</v>
      </c>
      <c r="S12" s="41">
        <f t="shared" ref="S12:S75" si="11">IF(O12&lt;Q12,P12,IF(O12&lt;R12,P12+(O12-13.2)*0.705-(B12-7)*0.004,O12))</f>
        <v>15.733603912849851</v>
      </c>
      <c r="T12" s="40">
        <f>S12/N12</f>
        <v>1.6220210219432838</v>
      </c>
      <c r="U12" s="40">
        <f>J12/T12</f>
        <v>3.0804376386676293E-2</v>
      </c>
      <c r="V12" s="44">
        <f>(B12-$B$11)/(A12-$A$11)*1000</f>
        <v>20.627830066386466</v>
      </c>
      <c r="W12" s="41">
        <f>J11+J12</f>
        <v>8.3418943740035556E-2</v>
      </c>
      <c r="X12" s="41">
        <f>(W11/(B12-$B$11))</f>
        <v>1.6217700827149402</v>
      </c>
      <c r="Y12" s="45">
        <f>(S12+S11)</f>
        <v>31.464773715184965</v>
      </c>
      <c r="Z12" s="28"/>
      <c r="AA12" s="28"/>
      <c r="AB12" s="39">
        <f>indtastning!F28/indtastning!E28</f>
        <v>3.0434782608695654</v>
      </c>
      <c r="AC12" s="40">
        <f>J11*AB11</f>
        <v>0.10181529726563182</v>
      </c>
      <c r="AD12" s="40">
        <f>AC12</f>
        <v>0.10181529726563182</v>
      </c>
      <c r="AE12" s="42">
        <f t="shared" ref="AE12:AE24" si="12">IF($B$11&lt;8.5,AN12,IF($B$11&lt;12,AH12,IF($AI$8=1,AF12,AG12)))</f>
        <v>0.12971571906354515</v>
      </c>
      <c r="AF12" s="28">
        <v>0.9</v>
      </c>
      <c r="AG12" s="28">
        <v>0.68</v>
      </c>
      <c r="AH12" s="28">
        <v>0.7</v>
      </c>
      <c r="AI12" s="43">
        <v>0.17</v>
      </c>
      <c r="AJ12" s="43">
        <f t="shared" ref="AJ12:AJ24" si="13">(AI12+AK12)/2</f>
        <v>0.115</v>
      </c>
      <c r="AK12" s="43">
        <v>0.06</v>
      </c>
      <c r="AL12" s="40">
        <f t="shared" ref="AL12:AL24" si="14">(AI12-AJ12)/(AI$9-AJ$9)</f>
        <v>1.839464882943144E-2</v>
      </c>
      <c r="AM12" s="40">
        <f t="shared" ref="AM12:AM24" si="15">(AJ12-AK12)</f>
        <v>5.5000000000000007E-2</v>
      </c>
      <c r="AN12" s="50">
        <f t="shared" ref="AN12:AN24" si="16">IF(B$11&lt;5.5, AK12+($B$11-AK$9)*AM12, IF(B$11&lt;8.5,AJ12+(B$11-AJ$9)*AL12,"Startvægt &gt; 8,5"))</f>
        <v>0.12971571906354515</v>
      </c>
      <c r="AO12" s="28"/>
      <c r="AP12" s="28">
        <v>0.17</v>
      </c>
      <c r="AQ12" s="28"/>
      <c r="AR12" s="28"/>
    </row>
    <row r="13" spans="1:44" x14ac:dyDescent="0.25">
      <c r="A13" s="28">
        <v>2</v>
      </c>
      <c r="B13" s="41">
        <f t="shared" ref="B13:B76" si="17">B12+U12</f>
        <v>6.3514322064530626</v>
      </c>
      <c r="C13" s="41">
        <f>indtastning!E29</f>
        <v>1.1499999999999999</v>
      </c>
      <c r="D13" s="40">
        <f t="shared" si="3"/>
        <v>0.995</v>
      </c>
      <c r="E13" s="40">
        <f t="shared" si="0"/>
        <v>1</v>
      </c>
      <c r="F13" s="40">
        <f t="shared" si="4"/>
        <v>1</v>
      </c>
      <c r="G13" s="40">
        <f t="shared" si="5"/>
        <v>0.995</v>
      </c>
      <c r="H13" s="41">
        <f t="shared" si="1"/>
        <v>6.9241984244033203E-2</v>
      </c>
      <c r="I13" s="39">
        <f>IF(indtastning!J$23&gt;4.9,5,IF(indtastning!J$23&lt;indtastning!G29,indtastning!J$23,indtastning!G29))</f>
        <v>1.5</v>
      </c>
      <c r="J13" s="41">
        <f t="shared" ref="J13:J76" si="18">IF(I13&lt;H13,I13,H13)</f>
        <v>6.9241984244033203E-2</v>
      </c>
      <c r="K13" s="40">
        <f t="shared" si="6"/>
        <v>1.4387725439904648</v>
      </c>
      <c r="L13" s="40">
        <v>1</v>
      </c>
      <c r="M13" s="40">
        <f t="shared" si="7"/>
        <v>1.4387725439904648</v>
      </c>
      <c r="N13" s="41">
        <f>indtastning!D29</f>
        <v>9.6999999999999993</v>
      </c>
      <c r="O13" s="41">
        <f t="shared" si="8"/>
        <v>13.956093676707507</v>
      </c>
      <c r="P13" s="39">
        <f t="shared" si="9"/>
        <v>15.201597836880186</v>
      </c>
      <c r="Q13" s="39">
        <f t="shared" si="10"/>
        <v>13.201597836880186</v>
      </c>
      <c r="R13" s="39">
        <f t="shared" si="2"/>
        <v>20.052020479454608</v>
      </c>
      <c r="S13" s="41">
        <f t="shared" si="11"/>
        <v>15.737238150133166</v>
      </c>
      <c r="T13" s="40">
        <f t="shared" ref="T13:T76" si="19">S13/N13</f>
        <v>1.6223956855807389</v>
      </c>
      <c r="U13" s="40">
        <f t="shared" ref="U13:U76" si="20">J13/T13</f>
        <v>4.2678851318103658E-2</v>
      </c>
      <c r="V13" s="44">
        <f t="shared" ref="V13:V76" si="21">(B13-$B$11)/(A13-$A$11)*1000</f>
        <v>25.716103226531395</v>
      </c>
      <c r="W13" s="41">
        <f>W12+J13</f>
        <v>0.15266092798406877</v>
      </c>
      <c r="X13" s="41">
        <f>(W12/(B13-$B$11))</f>
        <v>1.6219203781615703</v>
      </c>
      <c r="Y13" s="45">
        <f>S13+Y12</f>
        <v>47.202011865318127</v>
      </c>
      <c r="Z13" s="41">
        <f>Y13/(A14-$A$11)</f>
        <v>15.734003955106042</v>
      </c>
      <c r="AA13" s="41">
        <f>W13/A14</f>
        <v>5.0886975994689589E-2</v>
      </c>
      <c r="AB13" s="39">
        <f>indtastning!F29/indtastning!E29</f>
        <v>3.0434782608695654</v>
      </c>
      <c r="AC13" s="40">
        <f t="shared" ref="AC13:AC76" si="22">J12*AB12</f>
        <v>0.15206844455186769</v>
      </c>
      <c r="AD13" s="40">
        <f>AD12+AC13</f>
        <v>0.25388374181749951</v>
      </c>
      <c r="AE13" s="42">
        <f t="shared" si="12"/>
        <v>0.17872909698996656</v>
      </c>
      <c r="AF13" s="28">
        <v>1</v>
      </c>
      <c r="AG13" s="28">
        <v>0.76</v>
      </c>
      <c r="AH13" s="28">
        <v>0.82</v>
      </c>
      <c r="AI13" s="43">
        <v>0.23</v>
      </c>
      <c r="AJ13" s="43">
        <f t="shared" si="13"/>
        <v>0.16</v>
      </c>
      <c r="AK13" s="43">
        <v>0.09</v>
      </c>
      <c r="AL13" s="40">
        <f t="shared" si="14"/>
        <v>2.3411371237458196E-2</v>
      </c>
      <c r="AM13" s="40">
        <f t="shared" si="15"/>
        <v>7.0000000000000007E-2</v>
      </c>
      <c r="AN13" s="50">
        <f t="shared" si="16"/>
        <v>0.17872909698996656</v>
      </c>
      <c r="AO13" s="28"/>
      <c r="AP13" s="28">
        <v>0.22</v>
      </c>
      <c r="AQ13" s="28"/>
      <c r="AR13" s="28"/>
    </row>
    <row r="14" spans="1:44" x14ac:dyDescent="0.25">
      <c r="A14" s="28">
        <v>3</v>
      </c>
      <c r="B14" s="41">
        <f t="shared" si="17"/>
        <v>6.3941110577711662</v>
      </c>
      <c r="C14" s="41">
        <f>indtastning!E30</f>
        <v>1.1499999999999999</v>
      </c>
      <c r="D14" s="40">
        <f t="shared" si="3"/>
        <v>0.995</v>
      </c>
      <c r="E14" s="40">
        <f t="shared" si="0"/>
        <v>1</v>
      </c>
      <c r="F14" s="40">
        <f t="shared" si="4"/>
        <v>1</v>
      </c>
      <c r="G14" s="40">
        <f t="shared" si="5"/>
        <v>0.995</v>
      </c>
      <c r="H14" s="41">
        <f t="shared" si="1"/>
        <v>0.10297983224131285</v>
      </c>
      <c r="I14" s="39">
        <f>IF(indtastning!J$23&gt;4.9,5,IF(indtastning!J$23&lt;indtastning!G30,indtastning!J$23,indtastning!G30))</f>
        <v>1.5</v>
      </c>
      <c r="J14" s="41">
        <f t="shared" si="18"/>
        <v>0.10297983224131285</v>
      </c>
      <c r="K14" s="40">
        <f t="shared" si="6"/>
        <v>1.4394443407241757</v>
      </c>
      <c r="L14" s="40">
        <v>1</v>
      </c>
      <c r="M14" s="40">
        <f t="shared" si="7"/>
        <v>1.4394443407241757</v>
      </c>
      <c r="N14" s="41">
        <f>indtastning!D30</f>
        <v>9.6999999999999993</v>
      </c>
      <c r="O14" s="41">
        <f t="shared" si="8"/>
        <v>13.962610105024503</v>
      </c>
      <c r="P14" s="39">
        <f t="shared" si="9"/>
        <v>15.20220822080713</v>
      </c>
      <c r="Q14" s="39">
        <f t="shared" si="10"/>
        <v>13.20220822080713</v>
      </c>
      <c r="R14" s="39">
        <f t="shared" si="2"/>
        <v>20.052865795586733</v>
      </c>
      <c r="S14" s="41">
        <f t="shared" si="11"/>
        <v>15.74227190061832</v>
      </c>
      <c r="T14" s="40">
        <f t="shared" si="19"/>
        <v>1.6229146289297238</v>
      </c>
      <c r="U14" s="40">
        <f t="shared" si="20"/>
        <v>6.3453634840438755E-2</v>
      </c>
      <c r="V14" s="44">
        <f t="shared" si="21"/>
        <v>31.370352590388784</v>
      </c>
      <c r="W14" s="45">
        <f t="shared" ref="W14:W77" si="23">W13+J14</f>
        <v>0.25564076022538162</v>
      </c>
      <c r="X14" s="41">
        <f t="shared" ref="X14:X77" si="24">(W13/(B14-$B$11))</f>
        <v>1.6221359274833362</v>
      </c>
      <c r="Y14" s="45">
        <f t="shared" ref="Y14:Y77" si="25">S14+Y13</f>
        <v>62.944283765936447</v>
      </c>
      <c r="Z14" s="41">
        <f t="shared" ref="Z14:Z77" si="26">Y14/(A15-$A$11)</f>
        <v>15.736070941484112</v>
      </c>
      <c r="AA14" s="41">
        <f t="shared" ref="AA14:AA77" si="27">W14/A15</f>
        <v>6.3910190056345406E-2</v>
      </c>
      <c r="AB14" s="39">
        <f>indtastning!F30/indtastning!E30</f>
        <v>3.0434782608695654</v>
      </c>
      <c r="AC14" s="40">
        <f t="shared" si="22"/>
        <v>0.21073647378618801</v>
      </c>
      <c r="AD14" s="40">
        <f t="shared" ref="AD14:AD77" si="28">AD13+AC14</f>
        <v>0.46462021560368749</v>
      </c>
      <c r="AE14" s="42">
        <f t="shared" si="12"/>
        <v>0.26408026755852843</v>
      </c>
      <c r="AF14" s="28">
        <v>1</v>
      </c>
      <c r="AG14" s="28">
        <v>0.84</v>
      </c>
      <c r="AH14" s="28">
        <v>0.91</v>
      </c>
      <c r="AI14" s="43">
        <v>0.33</v>
      </c>
      <c r="AJ14" s="43">
        <f t="shared" si="13"/>
        <v>0.24</v>
      </c>
      <c r="AK14" s="43">
        <v>0.15</v>
      </c>
      <c r="AL14" s="40">
        <f t="shared" si="14"/>
        <v>3.0100334448160543E-2</v>
      </c>
      <c r="AM14" s="40">
        <f t="shared" si="15"/>
        <v>0.09</v>
      </c>
      <c r="AN14" s="50">
        <f t="shared" si="16"/>
        <v>0.26408026755852843</v>
      </c>
      <c r="AO14" s="28"/>
      <c r="AP14" s="28">
        <v>0.27</v>
      </c>
      <c r="AQ14" s="28"/>
      <c r="AR14" s="28"/>
    </row>
    <row r="15" spans="1:44" x14ac:dyDescent="0.25">
      <c r="A15" s="28">
        <v>4</v>
      </c>
      <c r="B15" s="41">
        <f t="shared" si="17"/>
        <v>6.457564692611605</v>
      </c>
      <c r="C15" s="41">
        <f>indtastning!E31</f>
        <v>1.1499999999999999</v>
      </c>
      <c r="D15" s="40">
        <f t="shared" si="3"/>
        <v>0.995</v>
      </c>
      <c r="E15" s="40">
        <f t="shared" si="0"/>
        <v>1</v>
      </c>
      <c r="F15" s="40">
        <f t="shared" si="4"/>
        <v>1</v>
      </c>
      <c r="G15" s="40">
        <f t="shared" si="5"/>
        <v>0.995</v>
      </c>
      <c r="H15" s="41">
        <f t="shared" si="1"/>
        <v>0.14296329327930651</v>
      </c>
      <c r="I15" s="39">
        <f>IF(indtastning!J$23&gt;4.9,5,IF(indtastning!J$23&lt;indtastning!G31,indtastning!J$23,indtastning!G31))</f>
        <v>1.5</v>
      </c>
      <c r="J15" s="41">
        <f t="shared" si="18"/>
        <v>0.14296329327930651</v>
      </c>
      <c r="K15" s="40">
        <f t="shared" si="6"/>
        <v>1.4404431479392568</v>
      </c>
      <c r="L15" s="40">
        <v>1</v>
      </c>
      <c r="M15" s="40">
        <f t="shared" si="7"/>
        <v>1.4404431479392568</v>
      </c>
      <c r="N15" s="41">
        <f>indtastning!D31</f>
        <v>9.6999999999999993</v>
      </c>
      <c r="O15" s="41">
        <f t="shared" si="8"/>
        <v>13.97229853501079</v>
      </c>
      <c r="P15" s="39">
        <f t="shared" si="9"/>
        <v>15.203112717206292</v>
      </c>
      <c r="Q15" s="39">
        <f t="shared" si="10"/>
        <v>13.203112717206292</v>
      </c>
      <c r="R15" s="39">
        <f t="shared" si="2"/>
        <v>20.054117388082982</v>
      </c>
      <c r="S15" s="41">
        <f t="shared" si="11"/>
        <v>15.749752925618452</v>
      </c>
      <c r="T15" s="40">
        <f t="shared" si="19"/>
        <v>1.6236858686204592</v>
      </c>
      <c r="U15" s="40">
        <f t="shared" si="20"/>
        <v>8.804861583279848E-2</v>
      </c>
      <c r="V15" s="44">
        <f t="shared" si="21"/>
        <v>39.391173152901303</v>
      </c>
      <c r="W15" s="45">
        <f t="shared" si="23"/>
        <v>0.39860405350468814</v>
      </c>
      <c r="X15" s="41">
        <f t="shared" si="24"/>
        <v>1.6224495220863506</v>
      </c>
      <c r="Y15" s="45">
        <f t="shared" si="25"/>
        <v>78.694036691554899</v>
      </c>
      <c r="Z15" s="41">
        <f t="shared" si="26"/>
        <v>15.738807338310981</v>
      </c>
      <c r="AA15" s="41">
        <f t="shared" si="27"/>
        <v>7.972081070093763E-2</v>
      </c>
      <c r="AB15" s="39">
        <f>indtastning!F31/indtastning!E31</f>
        <v>3.0434782608695654</v>
      </c>
      <c r="AC15" s="40">
        <f t="shared" si="22"/>
        <v>0.31341688073443041</v>
      </c>
      <c r="AD15" s="40">
        <f t="shared" si="28"/>
        <v>0.77803709633811791</v>
      </c>
      <c r="AE15" s="42">
        <f t="shared" si="12"/>
        <v>0.36309364548494982</v>
      </c>
      <c r="AF15" s="28">
        <v>1</v>
      </c>
      <c r="AG15" s="28">
        <v>0.92</v>
      </c>
      <c r="AH15" s="28">
        <v>0.95</v>
      </c>
      <c r="AI15" s="43">
        <v>0.44</v>
      </c>
      <c r="AJ15" s="43">
        <f t="shared" si="13"/>
        <v>0.33500000000000002</v>
      </c>
      <c r="AK15" s="43">
        <v>0.23</v>
      </c>
      <c r="AL15" s="40">
        <f t="shared" si="14"/>
        <v>3.5117056856187281E-2</v>
      </c>
      <c r="AM15" s="40">
        <f t="shared" si="15"/>
        <v>0.10500000000000001</v>
      </c>
      <c r="AN15" s="50">
        <f t="shared" si="16"/>
        <v>0.36309364548494982</v>
      </c>
      <c r="AO15" s="28"/>
      <c r="AP15" s="28">
        <v>0.35</v>
      </c>
      <c r="AQ15" s="28"/>
      <c r="AR15" s="28"/>
    </row>
    <row r="16" spans="1:44" x14ac:dyDescent="0.25">
      <c r="A16" s="28">
        <v>5</v>
      </c>
      <c r="B16" s="41">
        <f t="shared" si="17"/>
        <v>6.5456133084444037</v>
      </c>
      <c r="C16" s="41">
        <f>indtastning!E32</f>
        <v>1.1499999999999999</v>
      </c>
      <c r="D16" s="40">
        <f t="shared" si="3"/>
        <v>0.995</v>
      </c>
      <c r="E16" s="40">
        <f t="shared" si="0"/>
        <v>1</v>
      </c>
      <c r="F16" s="40">
        <f t="shared" si="4"/>
        <v>1</v>
      </c>
      <c r="G16" s="40">
        <f t="shared" si="5"/>
        <v>0.995</v>
      </c>
      <c r="H16" s="41">
        <f t="shared" si="1"/>
        <v>0.18437105467301204</v>
      </c>
      <c r="I16" s="39">
        <f>IF(indtastning!J$23&gt;4.9,5,IF(indtastning!J$23&lt;indtastning!G32,indtastning!J$23,indtastning!G32))</f>
        <v>1.5</v>
      </c>
      <c r="J16" s="41">
        <f t="shared" si="18"/>
        <v>0.18437105467301204</v>
      </c>
      <c r="K16" s="40">
        <f t="shared" si="6"/>
        <v>1.4418290983736619</v>
      </c>
      <c r="L16" s="40">
        <v>1</v>
      </c>
      <c r="M16" s="40">
        <f t="shared" si="7"/>
        <v>1.4418290983736619</v>
      </c>
      <c r="N16" s="41">
        <f>indtastning!D32</f>
        <v>9.6999999999999993</v>
      </c>
      <c r="O16" s="41">
        <f t="shared" si="8"/>
        <v>13.985742254224519</v>
      </c>
      <c r="P16" s="39">
        <f t="shared" si="9"/>
        <v>15.204361934079154</v>
      </c>
      <c r="Q16" s="39">
        <f t="shared" si="10"/>
        <v>13.204361934079154</v>
      </c>
      <c r="R16" s="39">
        <f t="shared" si="2"/>
        <v>20.055843962376375</v>
      </c>
      <c r="S16" s="41">
        <f t="shared" si="11"/>
        <v>15.760127770073662</v>
      </c>
      <c r="T16" s="40">
        <f t="shared" si="19"/>
        <v>1.6247554402137798</v>
      </c>
      <c r="U16" s="40">
        <f t="shared" si="20"/>
        <v>0.11347618854487609</v>
      </c>
      <c r="V16" s="44">
        <f t="shared" si="21"/>
        <v>49.122661688880775</v>
      </c>
      <c r="W16" s="45">
        <f t="shared" si="23"/>
        <v>0.58297510817770015</v>
      </c>
      <c r="X16" s="41">
        <f t="shared" si="24"/>
        <v>1.6228927334160099</v>
      </c>
      <c r="Y16" s="45">
        <f t="shared" si="25"/>
        <v>94.454164461628565</v>
      </c>
      <c r="Z16" s="41">
        <f t="shared" si="26"/>
        <v>15.742360743604761</v>
      </c>
      <c r="AA16" s="41">
        <f t="shared" si="27"/>
        <v>9.7162518029616687E-2</v>
      </c>
      <c r="AB16" s="39">
        <f>indtastning!F32/indtastning!E32</f>
        <v>3.0434782608695654</v>
      </c>
      <c r="AC16" s="40">
        <f t="shared" si="22"/>
        <v>0.4351056751978894</v>
      </c>
      <c r="AD16" s="40">
        <f t="shared" si="28"/>
        <v>1.2131427715360072</v>
      </c>
      <c r="AE16" s="42">
        <f t="shared" si="12"/>
        <v>0.46210702341137128</v>
      </c>
      <c r="AF16" s="28">
        <v>1</v>
      </c>
      <c r="AG16" s="28">
        <v>1</v>
      </c>
      <c r="AH16" s="28">
        <v>0.98</v>
      </c>
      <c r="AI16" s="43">
        <v>0.55000000000000004</v>
      </c>
      <c r="AJ16" s="43">
        <f t="shared" si="13"/>
        <v>0.43000000000000005</v>
      </c>
      <c r="AK16" s="43">
        <v>0.31</v>
      </c>
      <c r="AL16" s="40">
        <f t="shared" si="14"/>
        <v>4.0133779264214041E-2</v>
      </c>
      <c r="AM16" s="40">
        <f t="shared" si="15"/>
        <v>0.12000000000000005</v>
      </c>
      <c r="AN16" s="50">
        <f t="shared" si="16"/>
        <v>0.46210702341137128</v>
      </c>
      <c r="AO16" s="28"/>
      <c r="AP16" s="28">
        <v>0.43</v>
      </c>
      <c r="AQ16" s="28"/>
      <c r="AR16" s="28"/>
    </row>
    <row r="17" spans="1:44" x14ac:dyDescent="0.25">
      <c r="A17" s="28">
        <v>6</v>
      </c>
      <c r="B17" s="41">
        <f t="shared" si="17"/>
        <v>6.6590894969892798</v>
      </c>
      <c r="C17" s="41">
        <f>indtastning!E33</f>
        <v>1.1499999999999999</v>
      </c>
      <c r="D17" s="40">
        <f t="shared" si="3"/>
        <v>0.995</v>
      </c>
      <c r="E17" s="40">
        <f t="shared" si="0"/>
        <v>1</v>
      </c>
      <c r="F17" s="40">
        <f t="shared" si="4"/>
        <v>1</v>
      </c>
      <c r="G17" s="40">
        <f t="shared" si="5"/>
        <v>0.995</v>
      </c>
      <c r="H17" s="41">
        <f>(B17*0.0627-B17*B17*0.00022)*$K$6*(IF(Z17&lt;15.4,0.998,IF(Z17&lt;15.7,0.999,IF(Z17&lt;16.5,1,1))))*AE17*G17</f>
        <v>0.22509222559452294</v>
      </c>
      <c r="I17" s="39">
        <f>IF(indtastning!J$23&gt;4.9,5,IF(indtastning!J$23&lt;indtastning!G33,indtastning!J$23,indtastning!G33))</f>
        <v>1.5</v>
      </c>
      <c r="J17" s="41">
        <f t="shared" si="18"/>
        <v>0.22509222559452294</v>
      </c>
      <c r="K17" s="40">
        <f t="shared" si="6"/>
        <v>1.4436152976377943</v>
      </c>
      <c r="L17" s="40">
        <f>IF(Z16&lt;16,0.997,IF(Z16&lt;18,0.997+(Z16-16)*0.0015,IF(Z16&lt;19,1,IF(Z16&lt;19.5,1,1))))</f>
        <v>0.997</v>
      </c>
      <c r="M17" s="40">
        <f t="shared" si="7"/>
        <v>1.4392844517448808</v>
      </c>
      <c r="N17" s="41">
        <f>indtastning!D33</f>
        <v>9.6999999999999993</v>
      </c>
      <c r="O17" s="41">
        <f t="shared" si="8"/>
        <v>13.961059181925343</v>
      </c>
      <c r="P17" s="39">
        <f t="shared" si="9"/>
        <v>15.205962042955145</v>
      </c>
      <c r="Q17" s="39">
        <f t="shared" si="10"/>
        <v>13.205962042955145</v>
      </c>
      <c r="R17" s="39">
        <f t="shared" si="2"/>
        <v>20.058052116770806</v>
      </c>
      <c r="S17" s="41">
        <f t="shared" si="11"/>
        <v>15.743872408224554</v>
      </c>
      <c r="T17" s="40">
        <f t="shared" si="19"/>
        <v>1.6230796297138717</v>
      </c>
      <c r="U17" s="40">
        <f t="shared" si="20"/>
        <v>0.13868218260751866</v>
      </c>
      <c r="V17" s="44">
        <f t="shared" si="21"/>
        <v>59.84824949821332</v>
      </c>
      <c r="W17" s="45">
        <f t="shared" si="23"/>
        <v>0.80806733377222306</v>
      </c>
      <c r="X17" s="41">
        <f t="shared" si="24"/>
        <v>1.6234813690334806</v>
      </c>
      <c r="Y17" s="45">
        <f t="shared" si="25"/>
        <v>110.19803686985313</v>
      </c>
      <c r="Z17" s="41">
        <f t="shared" si="26"/>
        <v>15.742576695693304</v>
      </c>
      <c r="AA17" s="41">
        <f t="shared" si="27"/>
        <v>0.11543819053888901</v>
      </c>
      <c r="AB17" s="39">
        <f>indtastning!F33/indtastning!E33</f>
        <v>3.0434782608695654</v>
      </c>
      <c r="AC17" s="40">
        <f t="shared" si="22"/>
        <v>0.56112929683090629</v>
      </c>
      <c r="AD17" s="40">
        <f t="shared" si="28"/>
        <v>1.7742720683669135</v>
      </c>
      <c r="AE17" s="42">
        <f t="shared" si="12"/>
        <v>0.55478260869565221</v>
      </c>
      <c r="AF17" s="28">
        <v>1</v>
      </c>
      <c r="AG17" s="28">
        <v>1</v>
      </c>
      <c r="AH17" s="28">
        <v>1</v>
      </c>
      <c r="AI17" s="43">
        <v>0.65</v>
      </c>
      <c r="AJ17" s="43">
        <f t="shared" si="13"/>
        <v>0.52</v>
      </c>
      <c r="AK17" s="43">
        <v>0.39</v>
      </c>
      <c r="AL17" s="40">
        <f t="shared" si="14"/>
        <v>4.3478260869565216E-2</v>
      </c>
      <c r="AM17" s="40">
        <f t="shared" si="15"/>
        <v>0.13</v>
      </c>
      <c r="AN17" s="50">
        <f t="shared" si="16"/>
        <v>0.55478260869565221</v>
      </c>
      <c r="AO17" s="28"/>
      <c r="AP17" s="47">
        <v>0.52</v>
      </c>
      <c r="AQ17" s="28"/>
      <c r="AR17" s="28"/>
    </row>
    <row r="18" spans="1:44" x14ac:dyDescent="0.25">
      <c r="A18" s="37">
        <v>7</v>
      </c>
      <c r="B18" s="39">
        <f t="shared" si="17"/>
        <v>6.7977716795967984</v>
      </c>
      <c r="C18" s="39">
        <f>indtastning!E34</f>
        <v>1.1499999999999999</v>
      </c>
      <c r="D18" s="40">
        <f t="shared" si="3"/>
        <v>0.995</v>
      </c>
      <c r="E18" s="40">
        <f t="shared" si="0"/>
        <v>1</v>
      </c>
      <c r="F18" s="40">
        <f t="shared" si="4"/>
        <v>1</v>
      </c>
      <c r="G18" s="40">
        <f t="shared" si="5"/>
        <v>0.995</v>
      </c>
      <c r="H18" s="41">
        <f>(B18*0.0627-B18*B18*0.00022)*$K$6*(IF(Z18&lt;15.4,0.997,IF(Z18&lt;15.7,0.998,IF(Z18&lt;16.5,1,1))))*AE18*G18</f>
        <v>0.26954683862930301</v>
      </c>
      <c r="I18" s="39">
        <f>IF(indtastning!J$23&gt;4.9,5,IF(indtastning!J$23&lt;indtastning!G34,indtastning!J$23,indtastning!G34))</f>
        <v>1.5</v>
      </c>
      <c r="J18" s="39">
        <f t="shared" si="18"/>
        <v>0.26954683862930301</v>
      </c>
      <c r="K18" s="42">
        <f t="shared" si="6"/>
        <v>1.4457982579195792</v>
      </c>
      <c r="L18" s="40">
        <f>IF(Z17&lt;16,0.994,IF(Z17&lt;18,0.994+(Z17-16)*0.003,IF(Z17&lt;19,1,IF(Z17&lt;19.5,1,1))))</f>
        <v>0.99399999999999999</v>
      </c>
      <c r="M18" s="42">
        <f t="shared" si="7"/>
        <v>1.4371234683720617</v>
      </c>
      <c r="N18" s="39">
        <f>indtastning!D34</f>
        <v>9.6999999999999993</v>
      </c>
      <c r="O18" s="48">
        <f t="shared" si="8"/>
        <v>13.940097643208997</v>
      </c>
      <c r="P18" s="39">
        <f t="shared" si="9"/>
        <v>15.207902842659426</v>
      </c>
      <c r="Q18" s="48">
        <f t="shared" si="10"/>
        <v>13.207902842659426</v>
      </c>
      <c r="R18" s="39">
        <f t="shared" si="2"/>
        <v>20.06072536661393</v>
      </c>
      <c r="S18" s="41">
        <f t="shared" si="11"/>
        <v>15.730480594403382</v>
      </c>
      <c r="T18" s="42">
        <f t="shared" si="19"/>
        <v>1.6216990303508643</v>
      </c>
      <c r="U18" s="42">
        <f t="shared" si="20"/>
        <v>0.16621261626516787</v>
      </c>
      <c r="V18" s="49">
        <f t="shared" si="21"/>
        <v>71.110239942399801</v>
      </c>
      <c r="W18" s="48">
        <f t="shared" si="23"/>
        <v>1.077614172401526</v>
      </c>
      <c r="X18" s="39">
        <f t="shared" si="24"/>
        <v>1.6233694420437257</v>
      </c>
      <c r="Y18" s="48">
        <f t="shared" si="25"/>
        <v>125.92851746425652</v>
      </c>
      <c r="Z18" s="39">
        <f t="shared" si="26"/>
        <v>15.741064683032064</v>
      </c>
      <c r="AA18" s="39">
        <f t="shared" si="27"/>
        <v>0.13470177155019075</v>
      </c>
      <c r="AB18" s="39">
        <f>indtastning!F34/indtastning!E34</f>
        <v>3.0434782608695654</v>
      </c>
      <c r="AC18" s="40">
        <f t="shared" si="22"/>
        <v>0.68506329528767851</v>
      </c>
      <c r="AD18" s="40">
        <f t="shared" si="28"/>
        <v>2.459335363654592</v>
      </c>
      <c r="AE18" s="42">
        <f t="shared" si="12"/>
        <v>0.65112040133779259</v>
      </c>
      <c r="AF18" s="28">
        <v>1</v>
      </c>
      <c r="AG18" s="28">
        <v>1</v>
      </c>
      <c r="AH18" s="28">
        <v>1</v>
      </c>
      <c r="AI18" s="43">
        <v>0.75</v>
      </c>
      <c r="AJ18" s="43">
        <f t="shared" si="13"/>
        <v>0.61499999999999999</v>
      </c>
      <c r="AK18" s="43">
        <v>0.48</v>
      </c>
      <c r="AL18" s="40">
        <f t="shared" si="14"/>
        <v>4.51505016722408E-2</v>
      </c>
      <c r="AM18" s="40">
        <f t="shared" si="15"/>
        <v>0.13500000000000001</v>
      </c>
      <c r="AN18" s="50">
        <f t="shared" si="16"/>
        <v>0.65112040133779259</v>
      </c>
      <c r="AO18" s="28"/>
      <c r="AP18" s="28">
        <v>0.62</v>
      </c>
      <c r="AQ18" s="28"/>
      <c r="AR18" s="28"/>
    </row>
    <row r="19" spans="1:44" x14ac:dyDescent="0.25">
      <c r="A19" s="28">
        <v>8</v>
      </c>
      <c r="B19" s="41">
        <f t="shared" si="17"/>
        <v>6.963984295861966</v>
      </c>
      <c r="C19" s="41">
        <f>indtastning!E35</f>
        <v>1.1499999999999999</v>
      </c>
      <c r="D19" s="40">
        <f t="shared" si="3"/>
        <v>0.995</v>
      </c>
      <c r="E19" s="40">
        <f t="shared" si="0"/>
        <v>1</v>
      </c>
      <c r="F19" s="40">
        <f t="shared" si="4"/>
        <v>1</v>
      </c>
      <c r="G19" s="40">
        <f t="shared" si="5"/>
        <v>0.995</v>
      </c>
      <c r="H19" s="41">
        <f>(B19*0.0627-B19*B19*0.00022)*$K$6*(IF(Z19&lt;15.4,0.993,IF(Z19&lt;15.7,0.997,IF(Z19&lt;16.5,1,1))))*AE19*G19</f>
        <v>0.31185034086936575</v>
      </c>
      <c r="I19" s="39">
        <f>IF(indtastning!J$23&gt;4.9,5,IF(indtastning!J$23&lt;indtastning!G35,indtastning!J$23,indtastning!G35))</f>
        <v>1.5</v>
      </c>
      <c r="J19" s="41">
        <f t="shared" si="18"/>
        <v>0.31185034086936575</v>
      </c>
      <c r="K19" s="40">
        <f t="shared" si="6"/>
        <v>1.4484145676200495</v>
      </c>
      <c r="L19" s="40">
        <f>IF(Z18&lt;16,0.99,IF(Z18&lt;18,0.99+(Z18-16)*0.005,IF(Z18&lt;19,1,IF(Z18&lt;19.5,1,1))))</f>
        <v>0.99</v>
      </c>
      <c r="M19" s="40">
        <f t="shared" si="7"/>
        <v>1.4339304219438489</v>
      </c>
      <c r="N19" s="41">
        <f>indtastning!D35</f>
        <v>9.6999999999999993</v>
      </c>
      <c r="O19" s="45">
        <f t="shared" si="8"/>
        <v>13.909125092855334</v>
      </c>
      <c r="P19" s="39">
        <f t="shared" si="9"/>
        <v>15.210208175360142</v>
      </c>
      <c r="Q19" s="48">
        <f t="shared" si="10"/>
        <v>13.210208175360142</v>
      </c>
      <c r="R19" s="39">
        <f t="shared" si="2"/>
        <v>20.063893620534145</v>
      </c>
      <c r="S19" s="41">
        <f t="shared" si="11"/>
        <v>15.710285428639706</v>
      </c>
      <c r="T19" s="40">
        <f t="shared" si="19"/>
        <v>1.6196170544989388</v>
      </c>
      <c r="U19" s="40">
        <f t="shared" si="20"/>
        <v>0.19254572554858837</v>
      </c>
      <c r="V19" s="44">
        <f t="shared" si="21"/>
        <v>82.998036982745774</v>
      </c>
      <c r="W19" s="45">
        <f t="shared" si="23"/>
        <v>1.3894645132708918</v>
      </c>
      <c r="X19" s="41">
        <f t="shared" si="24"/>
        <v>1.6229512943564379</v>
      </c>
      <c r="Y19" s="45">
        <f t="shared" si="25"/>
        <v>141.63880289289622</v>
      </c>
      <c r="Z19" s="41">
        <f t="shared" si="26"/>
        <v>15.737644765877358</v>
      </c>
      <c r="AA19" s="41">
        <f t="shared" si="27"/>
        <v>0.15438494591898799</v>
      </c>
      <c r="AB19" s="39">
        <f>indtastning!F35/indtastning!E35</f>
        <v>3.0434782608695654</v>
      </c>
      <c r="AC19" s="40">
        <f t="shared" si="22"/>
        <v>0.82035994365440057</v>
      </c>
      <c r="AD19" s="40">
        <f t="shared" si="28"/>
        <v>3.2796953073089927</v>
      </c>
      <c r="AE19" s="42">
        <f t="shared" si="12"/>
        <v>0.73576923076923073</v>
      </c>
      <c r="AF19" s="28">
        <v>1</v>
      </c>
      <c r="AG19" s="28">
        <v>1</v>
      </c>
      <c r="AH19" s="28">
        <v>1</v>
      </c>
      <c r="AI19" s="43">
        <v>0.82</v>
      </c>
      <c r="AJ19" s="43">
        <f t="shared" si="13"/>
        <v>0.70499999999999996</v>
      </c>
      <c r="AK19" s="43">
        <v>0.59</v>
      </c>
      <c r="AL19" s="40">
        <f t="shared" si="14"/>
        <v>3.8461538461538457E-2</v>
      </c>
      <c r="AM19" s="40">
        <f t="shared" si="15"/>
        <v>0.11499999999999999</v>
      </c>
      <c r="AN19" s="50">
        <f t="shared" si="16"/>
        <v>0.73576923076923073</v>
      </c>
      <c r="AO19" s="28"/>
      <c r="AP19" s="28">
        <v>0.73</v>
      </c>
      <c r="AQ19" s="28"/>
      <c r="AR19" s="28"/>
    </row>
    <row r="20" spans="1:44" x14ac:dyDescent="0.25">
      <c r="A20" s="28">
        <v>9</v>
      </c>
      <c r="B20" s="41">
        <f t="shared" si="17"/>
        <v>7.1565300214105543</v>
      </c>
      <c r="C20" s="41">
        <f>indtastning!E36</f>
        <v>1.1499999999999999</v>
      </c>
      <c r="D20" s="40">
        <f t="shared" si="3"/>
        <v>0.995</v>
      </c>
      <c r="E20" s="40">
        <f t="shared" si="0"/>
        <v>1</v>
      </c>
      <c r="F20" s="40">
        <f t="shared" si="4"/>
        <v>1</v>
      </c>
      <c r="G20" s="40">
        <f t="shared" si="5"/>
        <v>0.995</v>
      </c>
      <c r="H20" s="41">
        <f>(B20*0.0627-B20*B20*0.00022)*$K$6*(IF(Z20&lt;15.4,0.989,IF(Z20&lt;15.7,0.995,IF(Z20&lt;16.5,0.999,1))))*AE20*G20</f>
        <v>0.35122616541961899</v>
      </c>
      <c r="I20" s="39">
        <f>IF(indtastning!J$23&gt;4.9,5,IF(indtastning!J$23&lt;indtastning!G36,indtastning!J$23,indtastning!G36))</f>
        <v>1.5</v>
      </c>
      <c r="J20" s="41">
        <f t="shared" si="18"/>
        <v>0.35122616541961899</v>
      </c>
      <c r="K20" s="40">
        <f t="shared" si="6"/>
        <v>1.4514453799666476</v>
      </c>
      <c r="L20" s="40">
        <f>IF(Z19&lt;16,0.994,IF(Z19&lt;18,0.994+(Z19-16)*0.003,IF(Z19&lt;19,1,IF(Z19&lt;19.5,1,1))))</f>
        <v>0.99399999999999999</v>
      </c>
      <c r="M20" s="40">
        <f t="shared" si="7"/>
        <v>1.4427367076868476</v>
      </c>
      <c r="N20" s="41">
        <f>indtastning!D36</f>
        <v>9.6999999999999993</v>
      </c>
      <c r="O20" s="45">
        <f t="shared" si="8"/>
        <v>13.994546064562421</v>
      </c>
      <c r="P20" s="39">
        <f t="shared" si="9"/>
        <v>15.212851402385059</v>
      </c>
      <c r="Q20" s="48">
        <f t="shared" si="10"/>
        <v>13.212851402385059</v>
      </c>
      <c r="R20" s="39">
        <f t="shared" si="2"/>
        <v>20.067516915753203</v>
      </c>
      <c r="S20" s="41">
        <f t="shared" si="11"/>
        <v>15.772380257815925</v>
      </c>
      <c r="T20" s="40">
        <f t="shared" si="19"/>
        <v>1.6260185832799925</v>
      </c>
      <c r="U20" s="40">
        <f t="shared" si="20"/>
        <v>0.21600378312474647</v>
      </c>
      <c r="V20" s="44">
        <f t="shared" si="21"/>
        <v>95.1700023789505</v>
      </c>
      <c r="W20" s="45">
        <f t="shared" si="23"/>
        <v>1.7406906786905108</v>
      </c>
      <c r="X20" s="41">
        <f t="shared" si="24"/>
        <v>1.6222017658910401</v>
      </c>
      <c r="Y20" s="45">
        <f t="shared" si="25"/>
        <v>157.41118315071213</v>
      </c>
      <c r="Z20" s="41">
        <f t="shared" si="26"/>
        <v>15.741118315071214</v>
      </c>
      <c r="AA20" s="41">
        <f t="shared" si="27"/>
        <v>0.17406906786905108</v>
      </c>
      <c r="AB20" s="39">
        <f>indtastning!F36/indtastning!E36</f>
        <v>3.0434782608695654</v>
      </c>
      <c r="AC20" s="40">
        <f t="shared" si="22"/>
        <v>0.94910973308067847</v>
      </c>
      <c r="AD20" s="40">
        <f t="shared" si="28"/>
        <v>4.2288050403896715</v>
      </c>
      <c r="AE20" s="42">
        <f t="shared" si="12"/>
        <v>0.80774247491638784</v>
      </c>
      <c r="AF20" s="28">
        <v>1</v>
      </c>
      <c r="AG20" s="28">
        <v>1</v>
      </c>
      <c r="AH20" s="28">
        <v>1</v>
      </c>
      <c r="AI20" s="43">
        <v>0.87</v>
      </c>
      <c r="AJ20" s="43">
        <f t="shared" si="13"/>
        <v>0.78499999999999992</v>
      </c>
      <c r="AK20" s="43">
        <v>0.7</v>
      </c>
      <c r="AL20" s="40">
        <f t="shared" si="14"/>
        <v>2.8428093645484973E-2</v>
      </c>
      <c r="AM20" s="40">
        <f t="shared" si="15"/>
        <v>8.4999999999999964E-2</v>
      </c>
      <c r="AN20" s="50">
        <f t="shared" si="16"/>
        <v>0.80774247491638784</v>
      </c>
      <c r="AO20" s="28"/>
      <c r="AP20" s="28">
        <v>0.83</v>
      </c>
      <c r="AQ20" s="28"/>
      <c r="AR20" s="28"/>
    </row>
    <row r="21" spans="1:44" x14ac:dyDescent="0.25">
      <c r="A21" s="28">
        <v>10</v>
      </c>
      <c r="B21" s="41">
        <f t="shared" si="17"/>
        <v>7.3725338045353004</v>
      </c>
      <c r="C21" s="41">
        <f>indtastning!E37</f>
        <v>1.1499999999999999</v>
      </c>
      <c r="D21" s="40">
        <f t="shared" si="3"/>
        <v>0.995</v>
      </c>
      <c r="E21" s="40">
        <f t="shared" si="0"/>
        <v>1</v>
      </c>
      <c r="F21" s="40">
        <f t="shared" si="4"/>
        <v>1</v>
      </c>
      <c r="G21" s="40">
        <f t="shared" si="5"/>
        <v>0.995</v>
      </c>
      <c r="H21" s="41">
        <f>(B21*0.0627-B21*B21*0.00022)*$K$6*(IF(Z21&lt;15.4,0.986,IF(Z21&lt;15.7,0.992,IF(Z21&lt;16.5,0.998,1))))*AE21*G21</f>
        <v>0.39739729265704793</v>
      </c>
      <c r="I21" s="39">
        <f>IF(indtastning!J$23&gt;4.9,5,IF(indtastning!J$23&lt;indtastning!G37,indtastning!J$23,indtastning!G37))</f>
        <v>1.5</v>
      </c>
      <c r="J21" s="41">
        <f t="shared" si="18"/>
        <v>0.39739729265704793</v>
      </c>
      <c r="K21" s="40">
        <f t="shared" si="6"/>
        <v>1.4548454395158334</v>
      </c>
      <c r="L21" s="40">
        <f>IF(Z20&lt;16,0.986,IF(Z20&lt;18,0.986+(Z20-16)*0.007,IF(Z20&lt;19,1,IF(Z20&lt;19.5,1,1))))</f>
        <v>0.98599999999999999</v>
      </c>
      <c r="M21" s="40">
        <f t="shared" si="7"/>
        <v>1.4344776033626117</v>
      </c>
      <c r="N21" s="41">
        <f>indtastning!D37</f>
        <v>9.6999999999999993</v>
      </c>
      <c r="O21" s="45">
        <f t="shared" si="8"/>
        <v>13.914432752617332</v>
      </c>
      <c r="P21" s="39">
        <f t="shared" si="9"/>
        <v>15.215783028068138</v>
      </c>
      <c r="Q21" s="48">
        <f t="shared" si="10"/>
        <v>13.215783028068138</v>
      </c>
      <c r="R21" s="39">
        <f t="shared" si="2"/>
        <v>20.071524102144458</v>
      </c>
      <c r="S21" s="41">
        <f t="shared" si="11"/>
        <v>15.717967983445217</v>
      </c>
      <c r="T21" s="40">
        <f t="shared" si="19"/>
        <v>1.6204090704582699</v>
      </c>
      <c r="U21" s="40">
        <f t="shared" si="20"/>
        <v>0.24524504330542873</v>
      </c>
      <c r="V21" s="44">
        <f t="shared" si="21"/>
        <v>107.25338045353006</v>
      </c>
      <c r="W21" s="45">
        <f t="shared" si="23"/>
        <v>2.1380879713475585</v>
      </c>
      <c r="X21" s="41">
        <f t="shared" si="24"/>
        <v>1.6229704568097079</v>
      </c>
      <c r="Y21" s="45">
        <f t="shared" si="25"/>
        <v>173.12915113415735</v>
      </c>
      <c r="Z21" s="41">
        <f t="shared" si="26"/>
        <v>15.739013739468851</v>
      </c>
      <c r="AA21" s="41">
        <f t="shared" si="27"/>
        <v>0.19437163375886896</v>
      </c>
      <c r="AB21" s="39">
        <f>indtastning!F37/indtastning!E37</f>
        <v>3.0434782608695654</v>
      </c>
      <c r="AC21" s="40">
        <f t="shared" si="22"/>
        <v>1.0689491991031883</v>
      </c>
      <c r="AD21" s="40">
        <f t="shared" si="28"/>
        <v>5.2977542394928596</v>
      </c>
      <c r="AE21" s="42">
        <f t="shared" si="12"/>
        <v>0.88872909698996649</v>
      </c>
      <c r="AF21" s="28">
        <v>1</v>
      </c>
      <c r="AG21" s="28">
        <v>1</v>
      </c>
      <c r="AH21" s="28">
        <v>1</v>
      </c>
      <c r="AI21" s="43">
        <v>0.94</v>
      </c>
      <c r="AJ21" s="43">
        <f t="shared" si="13"/>
        <v>0.87</v>
      </c>
      <c r="AK21" s="43">
        <v>0.8</v>
      </c>
      <c r="AL21" s="40">
        <f t="shared" si="14"/>
        <v>2.3411371237458175E-2</v>
      </c>
      <c r="AM21" s="40">
        <f t="shared" si="15"/>
        <v>6.9999999999999951E-2</v>
      </c>
      <c r="AN21" s="50">
        <f t="shared" si="16"/>
        <v>0.88872909698996649</v>
      </c>
      <c r="AO21" s="28"/>
      <c r="AP21" s="28">
        <v>0.91</v>
      </c>
      <c r="AQ21" s="28"/>
      <c r="AR21" s="28"/>
    </row>
    <row r="22" spans="1:44" x14ac:dyDescent="0.25">
      <c r="A22" s="28">
        <v>11</v>
      </c>
      <c r="B22" s="41">
        <f t="shared" si="17"/>
        <v>7.6177788478407287</v>
      </c>
      <c r="C22" s="41">
        <f>indtastning!E38</f>
        <v>1.1499999999999999</v>
      </c>
      <c r="D22" s="40">
        <f t="shared" si="3"/>
        <v>0.995</v>
      </c>
      <c r="E22" s="40">
        <f t="shared" si="0"/>
        <v>1</v>
      </c>
      <c r="F22" s="40">
        <f t="shared" si="4"/>
        <v>1</v>
      </c>
      <c r="G22" s="40">
        <f t="shared" si="5"/>
        <v>0.995</v>
      </c>
      <c r="H22" s="41">
        <f>(B22*0.0627-B22*B22*0.00022)*$K$6*(IF(Z22&lt;15.4,0.982,IF(Z22&lt;15.7,0.99,IF(Z22&lt;16.5,0.997,1))))*AE22*G22</f>
        <v>0.43212171805129429</v>
      </c>
      <c r="I22" s="39">
        <f>IF(indtastning!J$23&gt;4.9,5,IF(indtastning!J$23&lt;indtastning!G38,indtastning!J$23,indtastning!G38))</f>
        <v>1.5</v>
      </c>
      <c r="J22" s="41">
        <f t="shared" si="18"/>
        <v>0.43212171805129429</v>
      </c>
      <c r="K22" s="40">
        <f t="shared" si="6"/>
        <v>1.458705778160456</v>
      </c>
      <c r="L22" s="40">
        <f>IF(Z21&lt;16,0.982,IF(Z21&lt;18,0.982+(Z21-16)*0.009,IF(Z21&lt;19,0.999+(Z21-18)*0.0005,IF(Z21&lt;19.5,1,1))))</f>
        <v>0.98199999999999998</v>
      </c>
      <c r="M22" s="40">
        <f t="shared" si="7"/>
        <v>1.4324490741535678</v>
      </c>
      <c r="N22" s="41">
        <f>indtastning!D38</f>
        <v>9.6999999999999993</v>
      </c>
      <c r="O22" s="45">
        <f t="shared" si="8"/>
        <v>13.894756019289607</v>
      </c>
      <c r="P22" s="39">
        <f t="shared" si="9"/>
        <v>15.219070182178561</v>
      </c>
      <c r="Q22" s="48">
        <f t="shared" si="10"/>
        <v>13.219070182178561</v>
      </c>
      <c r="R22" s="39">
        <f t="shared" si="2"/>
        <v>20.0760032399781</v>
      </c>
      <c r="S22" s="41">
        <f t="shared" si="11"/>
        <v>15.706402060386372</v>
      </c>
      <c r="T22" s="40">
        <f t="shared" si="19"/>
        <v>1.619216707256327</v>
      </c>
      <c r="U22" s="40">
        <f t="shared" si="20"/>
        <v>0.26687083706263171</v>
      </c>
      <c r="V22" s="44">
        <f t="shared" si="21"/>
        <v>119.79807707642989</v>
      </c>
      <c r="W22" s="45">
        <f t="shared" si="23"/>
        <v>2.5702096893988529</v>
      </c>
      <c r="X22" s="41">
        <f t="shared" si="24"/>
        <v>1.6224937703704703</v>
      </c>
      <c r="Y22" s="45">
        <f t="shared" si="25"/>
        <v>188.83555319454373</v>
      </c>
      <c r="Z22" s="41">
        <f t="shared" si="26"/>
        <v>15.736296099545312</v>
      </c>
      <c r="AA22" s="41">
        <f t="shared" si="27"/>
        <v>0.21418414078323775</v>
      </c>
      <c r="AB22" s="39">
        <f>indtastning!F38/indtastning!E38</f>
        <v>3.0434782608695654</v>
      </c>
      <c r="AC22" s="40">
        <f t="shared" si="22"/>
        <v>1.2094700211301459</v>
      </c>
      <c r="AD22" s="40">
        <f t="shared" si="28"/>
        <v>6.5072242606230057</v>
      </c>
      <c r="AE22" s="42">
        <f t="shared" si="12"/>
        <v>0.93704013377926421</v>
      </c>
      <c r="AF22" s="28">
        <v>1</v>
      </c>
      <c r="AG22" s="28">
        <v>1</v>
      </c>
      <c r="AH22" s="28">
        <v>1</v>
      </c>
      <c r="AI22" s="43">
        <v>0.97</v>
      </c>
      <c r="AJ22" s="43">
        <f t="shared" si="13"/>
        <v>0.92500000000000004</v>
      </c>
      <c r="AK22" s="43">
        <v>0.88</v>
      </c>
      <c r="AL22" s="40">
        <f t="shared" si="14"/>
        <v>1.5050167224080242E-2</v>
      </c>
      <c r="AM22" s="40">
        <f t="shared" si="15"/>
        <v>4.500000000000004E-2</v>
      </c>
      <c r="AN22" s="50">
        <f t="shared" si="16"/>
        <v>0.93704013377926421</v>
      </c>
      <c r="AO22" s="28"/>
      <c r="AP22" s="28">
        <v>0.95</v>
      </c>
      <c r="AQ22" s="28"/>
      <c r="AR22" s="28"/>
    </row>
    <row r="23" spans="1:44" x14ac:dyDescent="0.25">
      <c r="A23" s="28">
        <v>12</v>
      </c>
      <c r="B23" s="41">
        <f t="shared" si="17"/>
        <v>7.8846496849033603</v>
      </c>
      <c r="C23" s="41">
        <f>indtastning!E39</f>
        <v>1.1499999999999999</v>
      </c>
      <c r="D23" s="40">
        <f t="shared" si="3"/>
        <v>0.995</v>
      </c>
      <c r="E23" s="40">
        <f t="shared" si="0"/>
        <v>1</v>
      </c>
      <c r="F23" s="40">
        <f t="shared" si="4"/>
        <v>1</v>
      </c>
      <c r="G23" s="40">
        <f t="shared" si="5"/>
        <v>0.995</v>
      </c>
      <c r="H23" s="41">
        <f>(B23*0.0627-B23*B23*0.00022)*$K$6*(IF(Z23&lt;15.4,0.978,IF(Z23&lt;15.7,0.988,IF(Z23&lt;16.5,0.996,1))))*AE23*G23</f>
        <v>0.46114281568369114</v>
      </c>
      <c r="I23" s="39">
        <f>IF(indtastning!J$23&gt;4.9,5,IF(indtastning!J$23&lt;indtastning!G39,indtastning!J$23,indtastning!G39))</f>
        <v>1.5</v>
      </c>
      <c r="J23" s="41">
        <f t="shared" si="18"/>
        <v>0.46114281568369114</v>
      </c>
      <c r="K23" s="40">
        <f t="shared" si="6"/>
        <v>1.4629065228179232</v>
      </c>
      <c r="L23" s="40">
        <f>IF(Z22&lt;16,0.978,IF(Z22&lt;18,0.978+(Z22-16)*0.01,IF(Z22&lt;19,0.998+(Z22-18)*0.001,IF(Z22&lt;19.5,1,1))))</f>
        <v>0.97799999999999998</v>
      </c>
      <c r="M23" s="40">
        <f t="shared" si="7"/>
        <v>1.4307225793159288</v>
      </c>
      <c r="N23" s="41">
        <f>indtastning!D39</f>
        <v>9.6999999999999993</v>
      </c>
      <c r="O23" s="45">
        <f t="shared" si="8"/>
        <v>13.878009019364509</v>
      </c>
      <c r="P23" s="39">
        <f t="shared" si="9"/>
        <v>15.222599465218984</v>
      </c>
      <c r="Q23" s="48">
        <f t="shared" si="10"/>
        <v>13.222599465218984</v>
      </c>
      <c r="R23" s="39">
        <f t="shared" si="2"/>
        <v>20.080796183822063</v>
      </c>
      <c r="S23" s="41">
        <f t="shared" si="11"/>
        <v>15.697057225131349</v>
      </c>
      <c r="T23" s="40">
        <f t="shared" si="19"/>
        <v>1.6182533221784898</v>
      </c>
      <c r="U23" s="40">
        <f t="shared" si="20"/>
        <v>0.28496330541308668</v>
      </c>
      <c r="V23" s="44">
        <f t="shared" si="21"/>
        <v>132.05414040861339</v>
      </c>
      <c r="W23" s="45">
        <f t="shared" si="23"/>
        <v>3.0313525050825438</v>
      </c>
      <c r="X23" s="41">
        <f t="shared" si="24"/>
        <v>1.621941880205275</v>
      </c>
      <c r="Y23" s="45">
        <f t="shared" si="25"/>
        <v>204.53261041967508</v>
      </c>
      <c r="Z23" s="41">
        <f t="shared" si="26"/>
        <v>15.733277724590391</v>
      </c>
      <c r="AA23" s="41">
        <f t="shared" si="27"/>
        <v>0.23318096192942644</v>
      </c>
      <c r="AB23" s="39">
        <f>indtastning!F39/indtastning!E39</f>
        <v>3.0434782608695654</v>
      </c>
      <c r="AC23" s="40">
        <f t="shared" si="22"/>
        <v>1.3151530549387218</v>
      </c>
      <c r="AD23" s="40">
        <f t="shared" si="28"/>
        <v>7.8223773155617273</v>
      </c>
      <c r="AE23" s="42">
        <f t="shared" si="12"/>
        <v>0.96802675585284281</v>
      </c>
      <c r="AF23" s="28">
        <v>1</v>
      </c>
      <c r="AG23" s="28">
        <v>1</v>
      </c>
      <c r="AH23" s="28">
        <v>1</v>
      </c>
      <c r="AI23" s="43">
        <v>0.99</v>
      </c>
      <c r="AJ23" s="43">
        <f t="shared" si="13"/>
        <v>0.96</v>
      </c>
      <c r="AK23" s="43">
        <v>0.93</v>
      </c>
      <c r="AL23" s="40">
        <f t="shared" si="14"/>
        <v>1.0033444816053521E-2</v>
      </c>
      <c r="AM23" s="40">
        <f t="shared" si="15"/>
        <v>2.9999999999999916E-2</v>
      </c>
      <c r="AN23" s="50">
        <f t="shared" si="16"/>
        <v>0.96802675585284281</v>
      </c>
      <c r="AO23" s="28"/>
      <c r="AP23" s="28">
        <v>0.98</v>
      </c>
      <c r="AQ23" s="28"/>
      <c r="AR23" s="28"/>
    </row>
    <row r="24" spans="1:44" x14ac:dyDescent="0.25">
      <c r="A24" s="28">
        <v>13</v>
      </c>
      <c r="B24" s="41">
        <f t="shared" si="17"/>
        <v>8.1696129903164465</v>
      </c>
      <c r="C24" s="41">
        <f>indtastning!E40</f>
        <v>1.1499999999999999</v>
      </c>
      <c r="D24" s="40">
        <f t="shared" si="3"/>
        <v>0.995</v>
      </c>
      <c r="E24" s="40">
        <f t="shared" si="0"/>
        <v>1</v>
      </c>
      <c r="F24" s="40">
        <f t="shared" si="4"/>
        <v>1</v>
      </c>
      <c r="G24" s="40">
        <f t="shared" si="5"/>
        <v>0.995</v>
      </c>
      <c r="H24" s="41">
        <f>(B24*0.0627-B24*B24*0.00022)*$K$6*(IF(Z24&lt;15.4,0.975,IF(Z24&lt;15.7,0.985,IF(Z24&lt;16.5,0.995,1))))*AE24*G24</f>
        <v>0.48717641137892054</v>
      </c>
      <c r="I24" s="39">
        <f>IF(indtastning!J$23&gt;4.9,5,IF(indtastning!J$23&lt;indtastning!G40,indtastning!J$23,indtastning!G40))</f>
        <v>1.5</v>
      </c>
      <c r="J24" s="41">
        <f t="shared" si="18"/>
        <v>0.48717641137892054</v>
      </c>
      <c r="K24" s="40">
        <f t="shared" si="6"/>
        <v>1.4673920563290552</v>
      </c>
      <c r="L24" s="40">
        <f>IF(Z23&lt;16,0.974,IF(Z23&lt;18,0.974+(Z23-16)*0.012,IF(Z23&lt;19,0.998+(Z23-18)*0.001,IF(Z23&lt;19.5,1,1))))</f>
        <v>0.97399999999999998</v>
      </c>
      <c r="M24" s="40">
        <f t="shared" si="7"/>
        <v>1.4292398628644998</v>
      </c>
      <c r="N24" s="41">
        <f>indtastning!D40</f>
        <v>9.6999999999999993</v>
      </c>
      <c r="O24" s="45">
        <f t="shared" si="8"/>
        <v>13.863626669785647</v>
      </c>
      <c r="P24" s="39">
        <f t="shared" si="9"/>
        <v>15.226315662995653</v>
      </c>
      <c r="Q24" s="48">
        <f t="shared" si="10"/>
        <v>13.226315662995653</v>
      </c>
      <c r="R24" s="39">
        <f t="shared" si="2"/>
        <v>20.085825348601492</v>
      </c>
      <c r="S24" s="41">
        <f t="shared" si="11"/>
        <v>15.68949401323327</v>
      </c>
      <c r="T24" s="40">
        <f t="shared" si="19"/>
        <v>1.6174736096116775</v>
      </c>
      <c r="U24" s="40">
        <f t="shared" si="20"/>
        <v>0.30119589493387883</v>
      </c>
      <c r="V24" s="44">
        <f t="shared" si="21"/>
        <v>143.81638387049588</v>
      </c>
      <c r="W24" s="45">
        <f t="shared" si="23"/>
        <v>3.5185289164614644</v>
      </c>
      <c r="X24" s="41">
        <f t="shared" si="24"/>
        <v>1.6213796763197841</v>
      </c>
      <c r="Y24" s="45">
        <f t="shared" si="25"/>
        <v>220.22210443290834</v>
      </c>
      <c r="Z24" s="41">
        <f t="shared" si="26"/>
        <v>15.73015031663631</v>
      </c>
      <c r="AA24" s="41">
        <f t="shared" si="27"/>
        <v>0.25132349403296173</v>
      </c>
      <c r="AB24" s="39">
        <f>indtastning!F40/indtastning!E40</f>
        <v>3.0434782608695654</v>
      </c>
      <c r="AC24" s="40">
        <f t="shared" si="22"/>
        <v>1.4034781346894949</v>
      </c>
      <c r="AD24" s="40">
        <f t="shared" si="28"/>
        <v>9.2258554502512222</v>
      </c>
      <c r="AE24" s="42">
        <f t="shared" si="12"/>
        <v>0.98901337792642141</v>
      </c>
      <c r="AF24" s="28">
        <v>1</v>
      </c>
      <c r="AG24" s="28">
        <v>1</v>
      </c>
      <c r="AH24" s="28">
        <v>1</v>
      </c>
      <c r="AI24" s="43">
        <v>1</v>
      </c>
      <c r="AJ24" s="43">
        <f t="shared" si="13"/>
        <v>0.98499999999999999</v>
      </c>
      <c r="AK24" s="43">
        <v>0.97</v>
      </c>
      <c r="AL24" s="40">
        <f t="shared" si="14"/>
        <v>5.0167224080267603E-3</v>
      </c>
      <c r="AM24" s="40">
        <f t="shared" si="15"/>
        <v>1.5000000000000013E-2</v>
      </c>
      <c r="AN24" s="50">
        <f t="shared" si="16"/>
        <v>0.98901337792642141</v>
      </c>
      <c r="AO24" s="28"/>
      <c r="AP24" s="28">
        <v>1</v>
      </c>
      <c r="AQ24" s="28"/>
      <c r="AR24" s="28"/>
    </row>
    <row r="25" spans="1:44" x14ac:dyDescent="0.25">
      <c r="A25" s="37">
        <v>14</v>
      </c>
      <c r="B25" s="39">
        <f t="shared" si="17"/>
        <v>8.4708088852503245</v>
      </c>
      <c r="C25" s="39">
        <f>indtastning!E41</f>
        <v>1.0900000000000001</v>
      </c>
      <c r="D25" s="40">
        <f t="shared" si="3"/>
        <v>0.95799999999999996</v>
      </c>
      <c r="E25" s="40">
        <f t="shared" si="0"/>
        <v>0.98199999999999998</v>
      </c>
      <c r="F25" s="40">
        <f t="shared" si="4"/>
        <v>1</v>
      </c>
      <c r="G25" s="40">
        <f t="shared" si="5"/>
        <v>0.95799999999999996</v>
      </c>
      <c r="H25" s="50">
        <f>(B25*0.0627-B25*B25*0.00022)*$K$6*(IF(Z25&lt;15.4,0.97,IF(Z25&lt;15.7,0.98,IF(Z25&lt;16.5,0.99,1))))*G25</f>
        <v>0.48875279193435034</v>
      </c>
      <c r="I25" s="39">
        <f>IF(indtastning!J$23&gt;4.9,5,IF(indtastning!J$23&lt;indtastning!G41,indtastning!J$23,indtastning!G41))</f>
        <v>1.5</v>
      </c>
      <c r="J25" s="39">
        <f t="shared" si="18"/>
        <v>0.48875279193435034</v>
      </c>
      <c r="K25" s="42">
        <f t="shared" si="6"/>
        <v>1.4721331028233848</v>
      </c>
      <c r="L25" s="40">
        <f>IF(Z24&lt;16,0.97,IF(Z24&lt;18,0.97+(Z24-16)*0.014,IF(Z24&lt;19,0.998+(Z24-18)*0.001,IF(Z24&lt;19.5,1,1))))</f>
        <v>0.97</v>
      </c>
      <c r="M25" s="42">
        <f t="shared" si="7"/>
        <v>1.4279691097386833</v>
      </c>
      <c r="N25" s="39">
        <f>indtastning!D41</f>
        <v>10.1</v>
      </c>
      <c r="O25" s="48">
        <f t="shared" si="8"/>
        <v>14.4224880083607</v>
      </c>
      <c r="P25" s="39">
        <f t="shared" si="9"/>
        <v>15.230187613970385</v>
      </c>
      <c r="Q25" s="48">
        <f t="shared" si="10"/>
        <v>13.230187613970385</v>
      </c>
      <c r="R25" s="39">
        <f t="shared" si="2"/>
        <v>20.091046540698397</v>
      </c>
      <c r="S25" s="41">
        <f t="shared" si="11"/>
        <v>16.086158424323678</v>
      </c>
      <c r="T25" s="42">
        <f t="shared" si="19"/>
        <v>1.5926889529033346</v>
      </c>
      <c r="U25" s="42">
        <f t="shared" si="20"/>
        <v>0.30687272052926351</v>
      </c>
      <c r="V25" s="49">
        <f t="shared" si="21"/>
        <v>155.05777751788034</v>
      </c>
      <c r="W25" s="48">
        <f t="shared" si="23"/>
        <v>4.0072817083958148</v>
      </c>
      <c r="X25" s="39">
        <f t="shared" si="24"/>
        <v>1.6208377164697889</v>
      </c>
      <c r="Y25" s="48">
        <f t="shared" si="25"/>
        <v>236.30826285723202</v>
      </c>
      <c r="Z25" s="39">
        <f t="shared" si="26"/>
        <v>15.753884190482134</v>
      </c>
      <c r="AA25" s="39">
        <f t="shared" si="27"/>
        <v>0.26715211389305432</v>
      </c>
      <c r="AB25" s="39">
        <f>indtastning!F41/indtastning!E41</f>
        <v>2.477064220183486</v>
      </c>
      <c r="AC25" s="40">
        <f t="shared" si="22"/>
        <v>1.482710817240193</v>
      </c>
      <c r="AD25" s="40">
        <f t="shared" si="28"/>
        <v>10.708566267491415</v>
      </c>
      <c r="AE25" s="28"/>
      <c r="AF25" s="28"/>
      <c r="AG25" s="28"/>
      <c r="AH25" s="28"/>
      <c r="AI25" s="28"/>
      <c r="AJ25" s="28"/>
      <c r="AK25" s="28"/>
      <c r="AL25" s="28"/>
      <c r="AM25" s="28"/>
      <c r="AN25" s="136" t="s">
        <v>278</v>
      </c>
      <c r="AO25" s="28"/>
      <c r="AP25" s="28"/>
      <c r="AQ25" s="28"/>
      <c r="AR25" s="28"/>
    </row>
    <row r="26" spans="1:44" x14ac:dyDescent="0.25">
      <c r="A26" s="28">
        <v>15</v>
      </c>
      <c r="B26" s="41">
        <f t="shared" si="17"/>
        <v>8.7776816057795877</v>
      </c>
      <c r="C26" s="74">
        <f>indtastning!E42</f>
        <v>1.0900000000000001</v>
      </c>
      <c r="D26" s="40">
        <f t="shared" si="3"/>
        <v>0.95799999999999996</v>
      </c>
      <c r="E26" s="40">
        <f t="shared" si="0"/>
        <v>0.98199999999999998</v>
      </c>
      <c r="F26" s="40">
        <f t="shared" si="4"/>
        <v>1</v>
      </c>
      <c r="G26" s="40">
        <f t="shared" si="5"/>
        <v>0.95799999999999996</v>
      </c>
      <c r="H26" s="50">
        <f t="shared" ref="H26:H89" si="29">(B26*0.0627-B26*B26*0.00022)*$K$6*(IF(Z26&lt;15.4,0.97,IF(Z26&lt;15.7,0.98,IF(Z26&lt;16.5,0.99,1))))*G26</f>
        <v>0.50589684869702667</v>
      </c>
      <c r="I26" s="39">
        <f>IF(indtastning!J$23&gt;4.9,5,IF(indtastning!J$23&lt;indtastning!G42,indtastning!J$23,indtastning!G42))</f>
        <v>1.5</v>
      </c>
      <c r="J26" s="41">
        <f t="shared" si="18"/>
        <v>0.50589684869702667</v>
      </c>
      <c r="K26" s="40">
        <f t="shared" si="6"/>
        <v>1.4769635067576417</v>
      </c>
      <c r="L26" s="40">
        <f>IF(Z25&lt;16,0.966,IF(Z25&lt;18,0.966+(Z25-16)*0.016,IF(Z25&lt;19,0.998+(Z25-18)*0.001,IF(Z25&lt;19.5,1,1))))</f>
        <v>0.96599999999999997</v>
      </c>
      <c r="M26" s="40">
        <f t="shared" si="7"/>
        <v>1.4267467475278819</v>
      </c>
      <c r="N26" s="41">
        <f>indtastning!D42</f>
        <v>10.1</v>
      </c>
      <c r="O26" s="45">
        <f t="shared" si="8"/>
        <v>14.410142150031607</v>
      </c>
      <c r="P26" s="39">
        <f t="shared" si="9"/>
        <v>15.234076309409962</v>
      </c>
      <c r="Q26" s="48">
        <f t="shared" si="10"/>
        <v>13.234076309409962</v>
      </c>
      <c r="R26" s="39">
        <f t="shared" si="2"/>
        <v>20.096271524210135</v>
      </c>
      <c r="S26" s="41">
        <f t="shared" si="11"/>
        <v>16.080115798759127</v>
      </c>
      <c r="T26" s="40">
        <f t="shared" si="19"/>
        <v>1.5920906731444682</v>
      </c>
      <c r="U26" s="40">
        <f t="shared" si="20"/>
        <v>0.31775630448098291</v>
      </c>
      <c r="V26" s="44">
        <f t="shared" si="21"/>
        <v>165.17877371863918</v>
      </c>
      <c r="W26" s="45">
        <f t="shared" si="23"/>
        <v>4.5131785570928411</v>
      </c>
      <c r="X26" s="41">
        <f t="shared" si="24"/>
        <v>1.6173513574335745</v>
      </c>
      <c r="Y26" s="45">
        <f t="shared" si="25"/>
        <v>252.38837865599115</v>
      </c>
      <c r="Z26" s="41">
        <f t="shared" si="26"/>
        <v>15.774273665999447</v>
      </c>
      <c r="AA26" s="41">
        <f t="shared" si="27"/>
        <v>0.28207365981830257</v>
      </c>
      <c r="AB26" s="39">
        <f>indtastning!F42/indtastning!E42</f>
        <v>2.477064220183486</v>
      </c>
      <c r="AC26" s="40">
        <f t="shared" si="22"/>
        <v>1.2106720534153632</v>
      </c>
      <c r="AD26" s="40">
        <f t="shared" si="28"/>
        <v>11.919238320906778</v>
      </c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</row>
    <row r="27" spans="1:44" x14ac:dyDescent="0.25">
      <c r="A27" s="28">
        <v>16</v>
      </c>
      <c r="B27" s="41">
        <f t="shared" si="17"/>
        <v>9.0954379102605714</v>
      </c>
      <c r="C27" s="74">
        <f>indtastning!E43</f>
        <v>1.0900000000000001</v>
      </c>
      <c r="D27" s="40">
        <f t="shared" si="3"/>
        <v>0.95799999999999996</v>
      </c>
      <c r="E27" s="40">
        <f t="shared" si="0"/>
        <v>0.98199999999999998</v>
      </c>
      <c r="F27" s="40">
        <f t="shared" si="4"/>
        <v>1</v>
      </c>
      <c r="G27" s="40">
        <f t="shared" si="5"/>
        <v>0.95799999999999996</v>
      </c>
      <c r="H27" s="50">
        <f t="shared" si="29"/>
        <v>0.52360752530175236</v>
      </c>
      <c r="I27" s="39">
        <f>IF(indtastning!J$23&gt;4.9,5,IF(indtastning!J$23&lt;indtastning!G43,indtastning!J$23,indtastning!G43))</f>
        <v>1.5</v>
      </c>
      <c r="J27" s="41">
        <f t="shared" si="18"/>
        <v>0.52360752530175236</v>
      </c>
      <c r="K27" s="40">
        <f t="shared" si="6"/>
        <v>1.4819652263652128</v>
      </c>
      <c r="L27" s="40">
        <f>IF(Z26&lt;16,0.962,IF(Z26&lt;18,0.962+(Z26-16)*0.017,IF(Z26&lt;19,0.996+(Z26-18)*0.001,IF(Z26&lt;19.5,0.998,1))))</f>
        <v>0.96199999999999997</v>
      </c>
      <c r="M27" s="40">
        <f t="shared" si="7"/>
        <v>1.4256505477633346</v>
      </c>
      <c r="N27" s="41">
        <f>indtastning!D43</f>
        <v>10.1</v>
      </c>
      <c r="O27" s="45">
        <f t="shared" si="8"/>
        <v>14.399070532409679</v>
      </c>
      <c r="P27" s="39">
        <f t="shared" si="9"/>
        <v>15.238046031448876</v>
      </c>
      <c r="Q27" s="48">
        <f t="shared" si="10"/>
        <v>13.238046031448876</v>
      </c>
      <c r="R27" s="39">
        <f t="shared" si="2"/>
        <v>20.101586437199366</v>
      </c>
      <c r="S27" s="41">
        <f t="shared" si="11"/>
        <v>16.075009005156659</v>
      </c>
      <c r="T27" s="40">
        <f t="shared" si="19"/>
        <v>1.5915850500155109</v>
      </c>
      <c r="U27" s="40">
        <f t="shared" si="20"/>
        <v>0.32898494824178548</v>
      </c>
      <c r="V27" s="44">
        <f t="shared" si="21"/>
        <v>174.71486939128573</v>
      </c>
      <c r="W27" s="45">
        <f t="shared" si="23"/>
        <v>5.0367860823945936</v>
      </c>
      <c r="X27" s="41">
        <f t="shared" si="24"/>
        <v>1.614479985596301</v>
      </c>
      <c r="Y27" s="45">
        <f t="shared" si="25"/>
        <v>268.46338766114781</v>
      </c>
      <c r="Z27" s="41">
        <f t="shared" si="26"/>
        <v>15.791963980067518</v>
      </c>
      <c r="AA27" s="41">
        <f t="shared" si="27"/>
        <v>0.29628153425850551</v>
      </c>
      <c r="AB27" s="39">
        <f>indtastning!F43/indtastning!E43</f>
        <v>2.477064220183486</v>
      </c>
      <c r="AC27" s="40">
        <f t="shared" si="22"/>
        <v>1.2531389830109834</v>
      </c>
      <c r="AD27" s="40">
        <f t="shared" si="28"/>
        <v>13.172377303917761</v>
      </c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</row>
    <row r="28" spans="1:44" x14ac:dyDescent="0.25">
      <c r="A28" s="28">
        <v>17</v>
      </c>
      <c r="B28" s="41">
        <f t="shared" si="17"/>
        <v>9.4244228585023571</v>
      </c>
      <c r="C28" s="74">
        <f>indtastning!E44</f>
        <v>1.0900000000000001</v>
      </c>
      <c r="D28" s="40">
        <f t="shared" si="3"/>
        <v>0.95799999999999996</v>
      </c>
      <c r="E28" s="40">
        <f t="shared" si="0"/>
        <v>0.98199999999999998</v>
      </c>
      <c r="F28" s="40">
        <f t="shared" si="4"/>
        <v>1</v>
      </c>
      <c r="G28" s="40">
        <f t="shared" si="5"/>
        <v>0.95799999999999996</v>
      </c>
      <c r="H28" s="50">
        <f t="shared" si="29"/>
        <v>0.54189965447646204</v>
      </c>
      <c r="I28" s="39">
        <f>IF(indtastning!J$23&gt;4.9,5,IF(indtastning!J$23&lt;indtastning!G44,indtastning!J$23,indtastning!G44))</f>
        <v>1.5</v>
      </c>
      <c r="J28" s="41">
        <f t="shared" si="18"/>
        <v>0.54189965447646204</v>
      </c>
      <c r="K28" s="40">
        <f t="shared" si="6"/>
        <v>1.4871436931430926</v>
      </c>
      <c r="L28" s="40">
        <f>IF(Z27&lt;16,0.958,IF(Z27&lt;18,0.958+(Z27-16)*0.018,IF(Z27&lt;19,0.994+(Z27-18)*0.002,IF(Z27&lt;19.5,0.998,1))))</f>
        <v>0.95799999999999996</v>
      </c>
      <c r="M28" s="40">
        <f t="shared" si="7"/>
        <v>1.4246836580310827</v>
      </c>
      <c r="N28" s="41">
        <f>indtastning!D44</f>
        <v>10.1</v>
      </c>
      <c r="O28" s="45">
        <f t="shared" si="8"/>
        <v>14.389304946113935</v>
      </c>
      <c r="P28" s="39">
        <f t="shared" si="9"/>
        <v>15.242098008591421</v>
      </c>
      <c r="Q28" s="48">
        <f t="shared" si="10"/>
        <v>13.242098008591421</v>
      </c>
      <c r="R28" s="39">
        <f t="shared" si="2"/>
        <v>20.10699222886748</v>
      </c>
      <c r="S28" s="41">
        <f t="shared" si="11"/>
        <v>16.070860304167738</v>
      </c>
      <c r="T28" s="40">
        <f t="shared" si="19"/>
        <v>1.5911742875413601</v>
      </c>
      <c r="U28" s="40">
        <f t="shared" si="20"/>
        <v>0.340565869320193</v>
      </c>
      <c r="V28" s="44">
        <f t="shared" si="21"/>
        <v>183.78957991190336</v>
      </c>
      <c r="W28" s="45">
        <f t="shared" si="23"/>
        <v>5.5786857368710558</v>
      </c>
      <c r="X28" s="41">
        <f t="shared" si="24"/>
        <v>1.6120692718299012</v>
      </c>
      <c r="Y28" s="45">
        <f t="shared" si="25"/>
        <v>284.53424796531556</v>
      </c>
      <c r="Z28" s="41">
        <f t="shared" si="26"/>
        <v>15.80745822029531</v>
      </c>
      <c r="AA28" s="41">
        <f t="shared" si="27"/>
        <v>0.30992698538172531</v>
      </c>
      <c r="AB28" s="39">
        <f>indtastning!F44/indtastning!E44</f>
        <v>2.477064220183486</v>
      </c>
      <c r="AC28" s="40">
        <f t="shared" si="22"/>
        <v>1.2970094663437901</v>
      </c>
      <c r="AD28" s="40">
        <f t="shared" si="28"/>
        <v>14.469386770261551</v>
      </c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</row>
    <row r="29" spans="1:44" x14ac:dyDescent="0.25">
      <c r="A29" s="28">
        <v>18</v>
      </c>
      <c r="B29" s="41">
        <f t="shared" si="17"/>
        <v>9.7649887278225496</v>
      </c>
      <c r="C29" s="74">
        <f>indtastning!E45</f>
        <v>1.0900000000000001</v>
      </c>
      <c r="D29" s="40">
        <f t="shared" si="3"/>
        <v>0.95799999999999996</v>
      </c>
      <c r="E29" s="40">
        <f t="shared" si="0"/>
        <v>0.98199999999999998</v>
      </c>
      <c r="F29" s="40">
        <f t="shared" si="4"/>
        <v>1</v>
      </c>
      <c r="G29" s="40">
        <f t="shared" si="5"/>
        <v>0.95799999999999996</v>
      </c>
      <c r="H29" s="50">
        <f t="shared" si="29"/>
        <v>0.56078812458453631</v>
      </c>
      <c r="I29" s="39">
        <f>IF(indtastning!J$23&gt;4.9,5,IF(indtastning!J$23&lt;indtastning!G45,indtastning!J$23,indtastning!G45))</f>
        <v>1.5</v>
      </c>
      <c r="J29" s="41">
        <f t="shared" si="18"/>
        <v>0.56078812458453631</v>
      </c>
      <c r="K29" s="40">
        <f t="shared" si="6"/>
        <v>1.4925044521972068</v>
      </c>
      <c r="L29" s="40">
        <f>IF(Z28&lt;16,0.955,IF(Z28&lt;18,0.955+(Z28-16)*0.019,IF(Z28&lt;19,0.993+(Z28-18)*0.003,IF(Z28&lt;19.5,0.998,1))))</f>
        <v>0.95499999999999996</v>
      </c>
      <c r="M29" s="40">
        <f t="shared" si="7"/>
        <v>1.4253417518483324</v>
      </c>
      <c r="N29" s="41">
        <f>indtastning!D45</f>
        <v>10.1</v>
      </c>
      <c r="O29" s="45">
        <f t="shared" si="8"/>
        <v>14.395951693668158</v>
      </c>
      <c r="P29" s="39">
        <f t="shared" si="9"/>
        <v>15.24623345579316</v>
      </c>
      <c r="Q29" s="48">
        <f t="shared" si="10"/>
        <v>13.24623345579316</v>
      </c>
      <c r="R29" s="39">
        <f t="shared" si="2"/>
        <v>20.112489819479332</v>
      </c>
      <c r="S29" s="41">
        <f t="shared" si="11"/>
        <v>16.078319444917923</v>
      </c>
      <c r="T29" s="40">
        <f t="shared" si="19"/>
        <v>1.5919128163285072</v>
      </c>
      <c r="U29" s="40">
        <f t="shared" si="20"/>
        <v>0.35227313885059647</v>
      </c>
      <c r="V29" s="44">
        <f t="shared" si="21"/>
        <v>192.49937376791942</v>
      </c>
      <c r="W29" s="45">
        <f t="shared" si="23"/>
        <v>6.1394738614555919</v>
      </c>
      <c r="X29" s="41">
        <f t="shared" si="24"/>
        <v>1.6100155512992922</v>
      </c>
      <c r="Y29" s="45">
        <f t="shared" si="25"/>
        <v>300.61256741023351</v>
      </c>
      <c r="Z29" s="41">
        <f t="shared" si="26"/>
        <v>15.821714074222816</v>
      </c>
      <c r="AA29" s="41">
        <f t="shared" si="27"/>
        <v>0.32313020323450486</v>
      </c>
      <c r="AB29" s="39">
        <f>indtastning!F45/indtastning!E45</f>
        <v>2.477064220183486</v>
      </c>
      <c r="AC29" s="40">
        <f t="shared" si="22"/>
        <v>1.3423202450334379</v>
      </c>
      <c r="AD29" s="40">
        <f t="shared" si="28"/>
        <v>15.811707015294989</v>
      </c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</row>
    <row r="30" spans="1:44" x14ac:dyDescent="0.25">
      <c r="A30" s="28">
        <v>19</v>
      </c>
      <c r="B30" s="41">
        <f t="shared" si="17"/>
        <v>10.117261866673147</v>
      </c>
      <c r="C30" s="74">
        <f>indtastning!E46</f>
        <v>1.0900000000000001</v>
      </c>
      <c r="D30" s="40">
        <f t="shared" si="3"/>
        <v>0.95799999999999996</v>
      </c>
      <c r="E30" s="40">
        <f t="shared" si="0"/>
        <v>0.98199999999999998</v>
      </c>
      <c r="F30" s="40">
        <f t="shared" si="4"/>
        <v>1</v>
      </c>
      <c r="G30" s="40">
        <f t="shared" si="5"/>
        <v>0.95828142848001552</v>
      </c>
      <c r="H30" s="50">
        <f t="shared" si="29"/>
        <v>0.58044544343765991</v>
      </c>
      <c r="I30" s="39">
        <f>IF(indtastning!J$23&gt;4.9,5,IF(indtastning!J$23&lt;indtastning!G46,indtastning!J$23,indtastning!G46))</f>
        <v>1.5</v>
      </c>
      <c r="J30" s="41">
        <f t="shared" si="18"/>
        <v>0.58044544343765991</v>
      </c>
      <c r="K30" s="40">
        <f t="shared" si="6"/>
        <v>1.498049492345781</v>
      </c>
      <c r="L30" s="40">
        <f>IF(Z29&lt;16,0.952,IF(Z29&lt;18,0.952+(Z29-16)*0.02,IF(Z29&lt;19,0.992+(Z29-18)*0.004,IF(Z29&lt;19.5,0.998,1))))</f>
        <v>0.95199999999999996</v>
      </c>
      <c r="M30" s="40">
        <f t="shared" si="7"/>
        <v>1.4261431167131835</v>
      </c>
      <c r="N30" s="41">
        <f>indtastning!D46</f>
        <v>10.1</v>
      </c>
      <c r="O30" s="45">
        <f t="shared" si="8"/>
        <v>14.404045478803154</v>
      </c>
      <c r="P30" s="39">
        <f t="shared" si="9"/>
        <v>15.250450802356617</v>
      </c>
      <c r="Q30" s="48">
        <f t="shared" si="10"/>
        <v>13.250450802356617</v>
      </c>
      <c r="R30" s="39">
        <f>19.8+0.1*POWER(B30,0.5)</f>
        <v>20.118076435258462</v>
      </c>
      <c r="S30" s="41">
        <f t="shared" si="11"/>
        <v>16.086833817446148</v>
      </c>
      <c r="T30" s="40">
        <f t="shared" si="19"/>
        <v>1.5927558235095196</v>
      </c>
      <c r="U30" s="40">
        <f t="shared" si="20"/>
        <v>0.3644283918916657</v>
      </c>
      <c r="V30" s="44">
        <f t="shared" si="21"/>
        <v>200.90851929858667</v>
      </c>
      <c r="W30" s="45">
        <f t="shared" si="23"/>
        <v>6.719919304893252</v>
      </c>
      <c r="X30" s="41">
        <f t="shared" si="24"/>
        <v>1.6083449540249435</v>
      </c>
      <c r="Y30" s="45">
        <f t="shared" si="25"/>
        <v>316.69940122767969</v>
      </c>
      <c r="Z30" s="41">
        <f t="shared" si="26"/>
        <v>15.834970061383984</v>
      </c>
      <c r="AA30" s="41">
        <f t="shared" si="27"/>
        <v>0.33599596524466258</v>
      </c>
      <c r="AB30" s="39">
        <f>indtastning!F46/indtastning!E46</f>
        <v>2.477064220183486</v>
      </c>
      <c r="AC30" s="40">
        <f t="shared" si="22"/>
        <v>1.3891081985121541</v>
      </c>
      <c r="AD30" s="40">
        <f t="shared" si="28"/>
        <v>17.200815213807143</v>
      </c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</row>
    <row r="31" spans="1:44" x14ac:dyDescent="0.25">
      <c r="A31" s="28">
        <v>20</v>
      </c>
      <c r="B31" s="41">
        <f t="shared" si="17"/>
        <v>10.481690258564813</v>
      </c>
      <c r="C31" s="74">
        <f>indtastning!E47</f>
        <v>1.0900000000000001</v>
      </c>
      <c r="D31" s="40">
        <f t="shared" si="3"/>
        <v>0.95799999999999996</v>
      </c>
      <c r="E31" s="40">
        <f t="shared" si="0"/>
        <v>0.98199999999999998</v>
      </c>
      <c r="F31" s="40">
        <f t="shared" si="4"/>
        <v>1</v>
      </c>
      <c r="G31" s="40">
        <f t="shared" si="5"/>
        <v>0.95915605662055547</v>
      </c>
      <c r="H31" s="50">
        <f t="shared" si="29"/>
        <v>0.60110423392559564</v>
      </c>
      <c r="I31" s="39">
        <f>IF(indtastning!J$23&gt;4.9,5,IF(indtastning!J$23&lt;indtastning!G47,indtastning!J$23,indtastning!G47))</f>
        <v>1.5</v>
      </c>
      <c r="J31" s="41">
        <f t="shared" si="18"/>
        <v>0.60110423392559564</v>
      </c>
      <c r="K31" s="40">
        <f t="shared" si="6"/>
        <v>1.5037858651811127</v>
      </c>
      <c r="L31" s="40">
        <f>IF(Z30&lt;16,0.95,IF(Z30&lt;18,0.95+(Z30-16)*0.02,IF(Z30&lt;19,0.99+(Z30-18)*0.005,IF(Z30&lt;19.5,0.998,1))))</f>
        <v>0.95</v>
      </c>
      <c r="M31" s="40">
        <f t="shared" si="7"/>
        <v>1.428596571922057</v>
      </c>
      <c r="N31" s="41">
        <f>indtastning!D47</f>
        <v>10.1</v>
      </c>
      <c r="O31" s="45">
        <f t="shared" si="8"/>
        <v>14.428825376412776</v>
      </c>
      <c r="P31" s="39">
        <f t="shared" si="9"/>
        <v>15.254752304014813</v>
      </c>
      <c r="Q31" s="48">
        <f t="shared" si="10"/>
        <v>13.254752304014813</v>
      </c>
      <c r="R31" s="39">
        <f t="shared" ref="R31:R94" si="30">19.8+0.1*POWER(B31,0.5)</f>
        <v>20.12375438620295</v>
      </c>
      <c r="S31" s="41">
        <f t="shared" si="11"/>
        <v>16.10714743335156</v>
      </c>
      <c r="T31" s="40">
        <f t="shared" si="19"/>
        <v>1.5947670726090655</v>
      </c>
      <c r="U31" s="40">
        <f t="shared" si="20"/>
        <v>0.37692290256669214</v>
      </c>
      <c r="V31" s="44">
        <f t="shared" si="21"/>
        <v>209.08451292824066</v>
      </c>
      <c r="W31" s="45">
        <f t="shared" si="23"/>
        <v>7.3210235388188476</v>
      </c>
      <c r="X31" s="41">
        <f t="shared" si="24"/>
        <v>1.6069863833481484</v>
      </c>
      <c r="Y31" s="45">
        <f t="shared" si="25"/>
        <v>332.80654866103123</v>
      </c>
      <c r="Z31" s="41">
        <f t="shared" si="26"/>
        <v>15.847930888620535</v>
      </c>
      <c r="AA31" s="41">
        <f t="shared" si="27"/>
        <v>0.34862016851518324</v>
      </c>
      <c r="AB31" s="39">
        <f>indtastning!F47/indtastning!E47</f>
        <v>2.477064220183486</v>
      </c>
      <c r="AC31" s="40">
        <f t="shared" si="22"/>
        <v>1.4378006397079648</v>
      </c>
      <c r="AD31" s="40">
        <f t="shared" si="28"/>
        <v>18.638615853515109</v>
      </c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</row>
    <row r="32" spans="1:44" x14ac:dyDescent="0.25">
      <c r="A32" s="37">
        <v>21</v>
      </c>
      <c r="B32" s="39">
        <f t="shared" si="17"/>
        <v>10.858613161131505</v>
      </c>
      <c r="C32" s="39">
        <f>indtastning!E48</f>
        <v>1.0900000000000001</v>
      </c>
      <c r="D32" s="40">
        <f t="shared" si="3"/>
        <v>0.95799999999999996</v>
      </c>
      <c r="E32" s="40">
        <f t="shared" si="0"/>
        <v>0.98199999999999998</v>
      </c>
      <c r="F32" s="40">
        <f t="shared" si="4"/>
        <v>1</v>
      </c>
      <c r="G32" s="40">
        <f t="shared" si="5"/>
        <v>0.9600606715867156</v>
      </c>
      <c r="H32" s="50">
        <f t="shared" si="29"/>
        <v>0.62245150583316144</v>
      </c>
      <c r="I32" s="39">
        <f>IF(indtastning!J$23&gt;4.9,5,IF(indtastning!J$23&lt;indtastning!G48,indtastning!J$23,indtastning!G48))</f>
        <v>1.5</v>
      </c>
      <c r="J32" s="39">
        <f t="shared" si="18"/>
        <v>0.62245150583316144</v>
      </c>
      <c r="K32" s="42">
        <f t="shared" si="6"/>
        <v>1.5097189108696625</v>
      </c>
      <c r="L32" s="40">
        <f>IF(Z31&lt;16,0.946,IF(Z31&lt;18,0.946+(Z31-16)*0.021,IF(Z31&lt;19,0.988+(Z31-18)*0.005,IF(Z31&lt;19.5,0.998,1))))</f>
        <v>0.94599999999999995</v>
      </c>
      <c r="M32" s="42">
        <f t="shared" si="7"/>
        <v>1.4281940896827006</v>
      </c>
      <c r="N32" s="39">
        <f>indtastning!D48</f>
        <v>10.1</v>
      </c>
      <c r="O32" s="48">
        <f t="shared" si="8"/>
        <v>14.424760305795274</v>
      </c>
      <c r="P32" s="39">
        <f t="shared" si="9"/>
        <v>15.259138804587723</v>
      </c>
      <c r="Q32" s="48">
        <f t="shared" si="10"/>
        <v>13.259138804587723</v>
      </c>
      <c r="R32" s="39">
        <f t="shared" si="30"/>
        <v>20.129524098680683</v>
      </c>
      <c r="S32" s="41">
        <f t="shared" si="11"/>
        <v>16.107160367528863</v>
      </c>
      <c r="T32" s="42">
        <f t="shared" si="19"/>
        <v>1.5947683532206796</v>
      </c>
      <c r="U32" s="42">
        <f t="shared" si="20"/>
        <v>0.39030841349221856</v>
      </c>
      <c r="V32" s="51">
        <f t="shared" si="21"/>
        <v>217.07681719673832</v>
      </c>
      <c r="W32" s="48">
        <f t="shared" si="23"/>
        <v>7.9434750446520095</v>
      </c>
      <c r="X32" s="39">
        <f t="shared" si="24"/>
        <v>1.6059760457940848</v>
      </c>
      <c r="Y32" s="48">
        <f t="shared" si="25"/>
        <v>348.91370902856011</v>
      </c>
      <c r="Z32" s="39">
        <f t="shared" si="26"/>
        <v>15.859714046752732</v>
      </c>
      <c r="AA32" s="39">
        <f t="shared" si="27"/>
        <v>0.36106704748418222</v>
      </c>
      <c r="AB32" s="39">
        <f>indtastning!F48/indtastning!E48</f>
        <v>2.477064220183486</v>
      </c>
      <c r="AC32" s="40">
        <f t="shared" si="22"/>
        <v>1.4889737904578972</v>
      </c>
      <c r="AD32" s="40">
        <f t="shared" si="28"/>
        <v>20.127589643973007</v>
      </c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</row>
    <row r="33" spans="1:44" x14ac:dyDescent="0.25">
      <c r="A33" s="28">
        <v>22</v>
      </c>
      <c r="B33" s="41">
        <f t="shared" si="17"/>
        <v>11.248921574623724</v>
      </c>
      <c r="C33" s="74">
        <f>indtastning!E49</f>
        <v>1.0900000000000001</v>
      </c>
      <c r="D33" s="40">
        <f t="shared" si="3"/>
        <v>0.95799999999999996</v>
      </c>
      <c r="E33" s="40">
        <f t="shared" si="0"/>
        <v>0.98199999999999998</v>
      </c>
      <c r="F33" s="40">
        <f t="shared" si="4"/>
        <v>1</v>
      </c>
      <c r="G33" s="40">
        <f t="shared" si="5"/>
        <v>0.96099741177909692</v>
      </c>
      <c r="H33" s="50">
        <f t="shared" si="29"/>
        <v>0.64453546810901263</v>
      </c>
      <c r="I33" s="39">
        <f>IF(indtastning!J$23&gt;4.9,5,IF(indtastning!J$23&lt;indtastning!G49,indtastning!J$23,indtastning!G49))</f>
        <v>1.5</v>
      </c>
      <c r="J33" s="41">
        <f t="shared" si="18"/>
        <v>0.64453546810901263</v>
      </c>
      <c r="K33" s="40">
        <f t="shared" si="6"/>
        <v>1.5158626544153735</v>
      </c>
      <c r="L33" s="40">
        <f>IF(Z32&lt;16,0.943,IF(Z32&lt;18,0.943+(Z32-16)*0.021,IF(Z32&lt;19,0.985+(Z32-18)*0.006,IF(Z32&lt;19.5,0.996,1))))</f>
        <v>0.94299999999999995</v>
      </c>
      <c r="M33" s="40">
        <f t="shared" si="7"/>
        <v>1.4294584831136972</v>
      </c>
      <c r="N33" s="41">
        <f>indtastning!D49</f>
        <v>10.1</v>
      </c>
      <c r="O33" s="45">
        <f t="shared" si="8"/>
        <v>14.43753067944834</v>
      </c>
      <c r="P33" s="39">
        <f t="shared" si="9"/>
        <v>15.263617357148132</v>
      </c>
      <c r="Q33" s="48">
        <f t="shared" si="10"/>
        <v>13.263617357148132</v>
      </c>
      <c r="R33" s="39">
        <f t="shared" si="30"/>
        <v>20.135394120023349</v>
      </c>
      <c r="S33" s="41">
        <f t="shared" si="11"/>
        <v>16.119080799860718</v>
      </c>
      <c r="T33" s="40">
        <f t="shared" si="19"/>
        <v>1.5959485940456157</v>
      </c>
      <c r="U33" s="40">
        <f t="shared" si="20"/>
        <v>0.40385728620190781</v>
      </c>
      <c r="V33" s="44">
        <f t="shared" si="21"/>
        <v>224.95098066471473</v>
      </c>
      <c r="W33" s="45">
        <f t="shared" si="23"/>
        <v>8.5880105127610218</v>
      </c>
      <c r="X33" s="41">
        <f t="shared" si="24"/>
        <v>1.605092124592006</v>
      </c>
      <c r="Y33" s="45">
        <f t="shared" si="25"/>
        <v>365.03278982842085</v>
      </c>
      <c r="Z33" s="41">
        <f t="shared" si="26"/>
        <v>15.870990862105254</v>
      </c>
      <c r="AA33" s="41">
        <f t="shared" si="27"/>
        <v>0.37339176142439223</v>
      </c>
      <c r="AB33" s="39">
        <f>indtastning!F49/indtastning!E49</f>
        <v>2.477064220183486</v>
      </c>
      <c r="AC33" s="40">
        <f t="shared" si="22"/>
        <v>1.5418523538986566</v>
      </c>
      <c r="AD33" s="40">
        <f t="shared" si="28"/>
        <v>21.669441997871665</v>
      </c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</row>
    <row r="34" spans="1:44" x14ac:dyDescent="0.25">
      <c r="A34" s="28">
        <v>23</v>
      </c>
      <c r="B34" s="41">
        <f t="shared" si="17"/>
        <v>11.652778860825631</v>
      </c>
      <c r="C34" s="74">
        <f>indtastning!E50</f>
        <v>1.0900000000000001</v>
      </c>
      <c r="D34" s="40">
        <f t="shared" si="3"/>
        <v>0.95799999999999996</v>
      </c>
      <c r="E34" s="40">
        <f t="shared" si="0"/>
        <v>0.98199999999999998</v>
      </c>
      <c r="F34" s="40">
        <f t="shared" si="4"/>
        <v>1</v>
      </c>
      <c r="G34" s="40">
        <f t="shared" si="5"/>
        <v>0.96196666926598151</v>
      </c>
      <c r="H34" s="50">
        <f t="shared" si="29"/>
        <v>0.66736291273808013</v>
      </c>
      <c r="I34" s="39">
        <f>IF(indtastning!J$23&gt;4.9,5,IF(indtastning!J$23&lt;indtastning!G50,indtastning!J$23,indtastning!G50))</f>
        <v>1.5</v>
      </c>
      <c r="J34" s="41">
        <f t="shared" si="18"/>
        <v>0.66736291273808013</v>
      </c>
      <c r="K34" s="40">
        <f t="shared" si="6"/>
        <v>1.5222196672537367</v>
      </c>
      <c r="L34" s="40">
        <f>IF(Z33&lt;16,0.94,IF(Z33&lt;18,0.94+(Z33-16)*0.021,IF(Z33&lt;19,0.984+(Z33-18)*0.006,IF(Z33&lt;19.5,0.995,1))))</f>
        <v>0.94</v>
      </c>
      <c r="M34" s="40">
        <f t="shared" si="7"/>
        <v>1.4308864872185123</v>
      </c>
      <c r="N34" s="41">
        <f>indtastning!D50</f>
        <v>10.1</v>
      </c>
      <c r="O34" s="45">
        <f t="shared" si="8"/>
        <v>14.451953520906974</v>
      </c>
      <c r="P34" s="39">
        <f t="shared" si="9"/>
        <v>15.268186415348904</v>
      </c>
      <c r="Q34" s="48">
        <f t="shared" si="10"/>
        <v>13.268186415348904</v>
      </c>
      <c r="R34" s="39">
        <f t="shared" si="30"/>
        <v>20.14136166833471</v>
      </c>
      <c r="S34" s="41">
        <f t="shared" si="11"/>
        <v>16.132202532145019</v>
      </c>
      <c r="T34" s="40">
        <f t="shared" si="19"/>
        <v>1.597247775459903</v>
      </c>
      <c r="U34" s="40">
        <f t="shared" si="20"/>
        <v>0.41782053040951844</v>
      </c>
      <c r="V34" s="44">
        <f t="shared" si="21"/>
        <v>232.7295156880709</v>
      </c>
      <c r="W34" s="45">
        <f t="shared" si="23"/>
        <v>9.2553734254991014</v>
      </c>
      <c r="X34" s="41">
        <f t="shared" si="24"/>
        <v>1.604402262087169</v>
      </c>
      <c r="Y34" s="45">
        <f t="shared" si="25"/>
        <v>381.16499236056586</v>
      </c>
      <c r="Z34" s="41">
        <f t="shared" si="26"/>
        <v>15.881874681690244</v>
      </c>
      <c r="AA34" s="41">
        <f t="shared" si="27"/>
        <v>0.38564055939579589</v>
      </c>
      <c r="AB34" s="39">
        <f>indtastning!F50/indtastning!E50</f>
        <v>2.477064220183486</v>
      </c>
      <c r="AC34" s="40">
        <f t="shared" si="22"/>
        <v>1.5965557466920495</v>
      </c>
      <c r="AD34" s="40">
        <f t="shared" si="28"/>
        <v>23.265997744563716</v>
      </c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</row>
    <row r="35" spans="1:44" x14ac:dyDescent="0.25">
      <c r="A35" s="28">
        <v>24</v>
      </c>
      <c r="B35" s="41">
        <f t="shared" si="17"/>
        <v>12.070599391235149</v>
      </c>
      <c r="C35" s="74">
        <f>indtastning!E51</f>
        <v>1.0900000000000001</v>
      </c>
      <c r="D35" s="40">
        <f t="shared" si="3"/>
        <v>0.95799999999999996</v>
      </c>
      <c r="E35" s="40">
        <f t="shared" si="0"/>
        <v>0.98199999999999998</v>
      </c>
      <c r="F35" s="40">
        <f t="shared" si="4"/>
        <v>1</v>
      </c>
      <c r="G35" s="40">
        <f t="shared" si="5"/>
        <v>0.96296943853896433</v>
      </c>
      <c r="H35" s="50">
        <f t="shared" si="29"/>
        <v>0.69095463993518647</v>
      </c>
      <c r="I35" s="39">
        <f>IF(indtastning!J$23&gt;4.9,5,IF(indtastning!J$23&lt;indtastning!G51,indtastning!J$23,indtastning!G51))</f>
        <v>1.5</v>
      </c>
      <c r="J35" s="41">
        <f t="shared" si="18"/>
        <v>0.69095463993518647</v>
      </c>
      <c r="K35" s="40">
        <f t="shared" si="6"/>
        <v>1.5287964718990719</v>
      </c>
      <c r="L35" s="40">
        <f>IF(Z34&lt;16,0.938,IF(Z34&lt;18,0.936+(Z34-16)*0.0213,IF(Z34&lt;19,0.984+(Z34-18)*0.006,IF(Z34&lt;19.5,0.995,1))))</f>
        <v>0.93799999999999994</v>
      </c>
      <c r="M35" s="40">
        <f t="shared" si="7"/>
        <v>1.4340110906413293</v>
      </c>
      <c r="N35" s="41">
        <f>indtastning!D51</f>
        <v>10.1</v>
      </c>
      <c r="O35" s="45">
        <f t="shared" si="8"/>
        <v>14.483512015477425</v>
      </c>
      <c r="P35" s="39">
        <f t="shared" si="9"/>
        <v>15.272847263890046</v>
      </c>
      <c r="Q35" s="48">
        <f t="shared" si="10"/>
        <v>13.272847263890046</v>
      </c>
      <c r="R35" s="39">
        <f t="shared" si="30"/>
        <v>20.147427681557403</v>
      </c>
      <c r="S35" s="41">
        <f t="shared" si="11"/>
        <v>16.157440837236692</v>
      </c>
      <c r="T35" s="40">
        <f t="shared" si="19"/>
        <v>1.5997466175481874</v>
      </c>
      <c r="U35" s="40">
        <f t="shared" si="20"/>
        <v>0.43191504976841971</v>
      </c>
      <c r="V35" s="44">
        <f t="shared" si="21"/>
        <v>240.44164130146453</v>
      </c>
      <c r="W35" s="45">
        <f t="shared" si="23"/>
        <v>9.9463280654342885</v>
      </c>
      <c r="X35" s="41">
        <f t="shared" si="24"/>
        <v>1.6038842411339294</v>
      </c>
      <c r="Y35" s="45">
        <f t="shared" si="25"/>
        <v>397.32243319780252</v>
      </c>
      <c r="Z35" s="41">
        <f t="shared" si="26"/>
        <v>15.892897327912101</v>
      </c>
      <c r="AA35" s="41">
        <f t="shared" si="27"/>
        <v>0.39785312261737155</v>
      </c>
      <c r="AB35" s="39">
        <f>indtastning!F51/indtastning!E51</f>
        <v>2.477064220183486</v>
      </c>
      <c r="AC35" s="40">
        <f t="shared" si="22"/>
        <v>1.6531007930209323</v>
      </c>
      <c r="AD35" s="40">
        <f t="shared" si="28"/>
        <v>24.919098537584649</v>
      </c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</row>
    <row r="36" spans="1:44" x14ac:dyDescent="0.25">
      <c r="A36" s="28">
        <v>25</v>
      </c>
      <c r="B36" s="41">
        <f t="shared" si="17"/>
        <v>12.502514441003569</v>
      </c>
      <c r="C36" s="74">
        <f>indtastning!E52</f>
        <v>1.0900000000000001</v>
      </c>
      <c r="D36" s="40">
        <f t="shared" si="3"/>
        <v>0.95799999999999996</v>
      </c>
      <c r="E36" s="40">
        <f t="shared" si="0"/>
        <v>0.98199999999999998</v>
      </c>
      <c r="F36" s="40">
        <f t="shared" si="4"/>
        <v>1</v>
      </c>
      <c r="G36" s="40">
        <f t="shared" si="5"/>
        <v>0.96400603465840851</v>
      </c>
      <c r="H36" s="50">
        <f t="shared" si="29"/>
        <v>0.71531526333733253</v>
      </c>
      <c r="I36" s="39">
        <f>IF(indtastning!J$23&gt;4.9,5,IF(indtastning!J$23&lt;indtastning!G52,indtastning!J$23,indtastning!G52))</f>
        <v>1.5</v>
      </c>
      <c r="J36" s="41">
        <f t="shared" si="18"/>
        <v>0.71531526333733253</v>
      </c>
      <c r="K36" s="40">
        <f t="shared" si="6"/>
        <v>1.5355951347195007</v>
      </c>
      <c r="L36" s="40">
        <f>IF(Z35&lt;16,0.935,IF(Z35&lt;18,0.935+(Z35-16)*0.023,IF(Z35&lt;19,0.983+(Z35-18)*0.007,IF(Z35&lt;19.5,0.995,1))))</f>
        <v>0.93500000000000005</v>
      </c>
      <c r="M36" s="40">
        <f t="shared" si="7"/>
        <v>1.4357814509627334</v>
      </c>
      <c r="N36" s="41">
        <f>indtastning!D52</f>
        <v>10.1</v>
      </c>
      <c r="O36" s="45">
        <f t="shared" si="8"/>
        <v>14.501392654723606</v>
      </c>
      <c r="P36" s="39">
        <f t="shared" si="9"/>
        <v>15.277597990481061</v>
      </c>
      <c r="Q36" s="48">
        <f t="shared" si="10"/>
        <v>13.277597990481061</v>
      </c>
      <c r="R36" s="39">
        <f t="shared" si="30"/>
        <v>20.153588948370896</v>
      </c>
      <c r="S36" s="41">
        <f t="shared" si="11"/>
        <v>16.173069754297188</v>
      </c>
      <c r="T36" s="40">
        <f t="shared" si="19"/>
        <v>1.6012940350789295</v>
      </c>
      <c r="U36" s="40">
        <f t="shared" si="20"/>
        <v>0.44671075247093756</v>
      </c>
      <c r="V36" s="44">
        <f t="shared" si="21"/>
        <v>248.1005776401428</v>
      </c>
      <c r="W36" s="45">
        <f t="shared" si="23"/>
        <v>10.661643328771621</v>
      </c>
      <c r="X36" s="41">
        <f t="shared" si="24"/>
        <v>1.6035961157431773</v>
      </c>
      <c r="Y36" s="45">
        <f t="shared" si="25"/>
        <v>413.49550295209974</v>
      </c>
      <c r="Z36" s="41">
        <f t="shared" si="26"/>
        <v>15.903673190465375</v>
      </c>
      <c r="AA36" s="41">
        <f t="shared" si="27"/>
        <v>0.41006320495275467</v>
      </c>
      <c r="AB36" s="39">
        <f>indtastning!F52/indtastning!E52</f>
        <v>2.477064220183486</v>
      </c>
      <c r="AC36" s="40">
        <f t="shared" si="22"/>
        <v>1.711539016353214</v>
      </c>
      <c r="AD36" s="40">
        <f t="shared" si="28"/>
        <v>26.630637553937863</v>
      </c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</row>
    <row r="37" spans="1:44" x14ac:dyDescent="0.25">
      <c r="A37" s="28">
        <v>26</v>
      </c>
      <c r="B37" s="41">
        <f t="shared" si="17"/>
        <v>12.949225193474508</v>
      </c>
      <c r="C37" s="74">
        <f>indtastning!E53</f>
        <v>1.0900000000000001</v>
      </c>
      <c r="D37" s="40">
        <f t="shared" si="3"/>
        <v>0.95799999999999996</v>
      </c>
      <c r="E37" s="40">
        <f t="shared" si="0"/>
        <v>0.98199999999999998</v>
      </c>
      <c r="F37" s="40">
        <f t="shared" si="4"/>
        <v>1</v>
      </c>
      <c r="G37" s="40">
        <f t="shared" si="5"/>
        <v>0.96507814046433882</v>
      </c>
      <c r="H37" s="50">
        <f t="shared" si="29"/>
        <v>0.74048131605489365</v>
      </c>
      <c r="I37" s="39">
        <f>IF(indtastning!J$23&gt;4.9,5,IF(indtastning!J$23&lt;indtastning!G53,indtastning!J$23,indtastning!G53))</f>
        <v>1.5</v>
      </c>
      <c r="J37" s="41">
        <f t="shared" si="18"/>
        <v>0.74048131605489365</v>
      </c>
      <c r="K37" s="40">
        <f t="shared" si="6"/>
        <v>1.5426266928602468</v>
      </c>
      <c r="L37" s="40">
        <f>IF(Z36&lt;16,0.93,IF(Z36&lt;18,0.93+(Z36-16)*0.025,IF(Z36&lt;19,0.98+(Z36-18)*0.01,IF(Z36&lt;19.5,0.995,1))))</f>
        <v>0.93</v>
      </c>
      <c r="M37" s="40">
        <f t="shared" si="7"/>
        <v>1.4346428243600295</v>
      </c>
      <c r="N37" s="41">
        <f>indtastning!D53</f>
        <v>10.1</v>
      </c>
      <c r="O37" s="45">
        <f t="shared" si="8"/>
        <v>14.489892526036298</v>
      </c>
      <c r="P37" s="39">
        <f t="shared" si="9"/>
        <v>15.282442894282516</v>
      </c>
      <c r="Q37" s="48">
        <f t="shared" si="10"/>
        <v>13.282442894282516</v>
      </c>
      <c r="R37" s="39">
        <f t="shared" si="30"/>
        <v>20.159850318792056</v>
      </c>
      <c r="S37" s="41">
        <f t="shared" si="11"/>
        <v>16.168020224364209</v>
      </c>
      <c r="T37" s="40">
        <f t="shared" si="19"/>
        <v>1.6007940816202189</v>
      </c>
      <c r="U37" s="40">
        <f t="shared" si="20"/>
        <v>0.46257124795553156</v>
      </c>
      <c r="V37" s="44">
        <f t="shared" si="21"/>
        <v>255.73943051825032</v>
      </c>
      <c r="W37" s="45">
        <f t="shared" si="23"/>
        <v>11.402124644826515</v>
      </c>
      <c r="X37" s="41">
        <f t="shared" si="24"/>
        <v>1.6034414564925348</v>
      </c>
      <c r="Y37" s="45">
        <f t="shared" si="25"/>
        <v>429.66352317646397</v>
      </c>
      <c r="Z37" s="41">
        <f t="shared" si="26"/>
        <v>15.913463821350517</v>
      </c>
      <c r="AA37" s="41">
        <f t="shared" si="27"/>
        <v>0.4223009127713524</v>
      </c>
      <c r="AB37" s="39">
        <f>indtastning!F53/indtastning!E53</f>
        <v>2.477064220183486</v>
      </c>
      <c r="AC37" s="40">
        <f t="shared" si="22"/>
        <v>1.7718818449640346</v>
      </c>
      <c r="AD37" s="40">
        <f t="shared" si="28"/>
        <v>28.402519398901898</v>
      </c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</row>
    <row r="38" spans="1:44" x14ac:dyDescent="0.25">
      <c r="A38" s="28">
        <v>27</v>
      </c>
      <c r="B38" s="41">
        <f t="shared" si="17"/>
        <v>13.41179644143004</v>
      </c>
      <c r="C38" s="74">
        <f>indtastning!E54</f>
        <v>1.0900000000000001</v>
      </c>
      <c r="D38" s="40">
        <f t="shared" si="3"/>
        <v>0.95799999999999996</v>
      </c>
      <c r="E38" s="40">
        <f t="shared" si="0"/>
        <v>0.98199999999999998</v>
      </c>
      <c r="F38" s="40">
        <f t="shared" si="4"/>
        <v>1</v>
      </c>
      <c r="G38" s="40">
        <f t="shared" si="5"/>
        <v>0.96618831145943207</v>
      </c>
      <c r="H38" s="50">
        <f t="shared" si="29"/>
        <v>0.76650944454732639</v>
      </c>
      <c r="I38" s="39">
        <f>IF(indtastning!J$23&gt;4.9,5,IF(indtastning!J$23&lt;indtastning!G54,indtastning!J$23,indtastning!G54))</f>
        <v>1.5</v>
      </c>
      <c r="J38" s="41">
        <f t="shared" si="18"/>
        <v>0.76650944454732639</v>
      </c>
      <c r="K38" s="40">
        <f t="shared" si="6"/>
        <v>1.5499079069484358</v>
      </c>
      <c r="L38" s="40">
        <f t="shared" ref="L38:L101" si="31">IF(Z37&lt;16,0.93,IF(Z37&lt;18,0.93+(Z37-16)*0.025,IF(Z37&lt;19,0.98+(Z37-18)*0.01,IF(Z37&lt;19.5,0.995,1))))</f>
        <v>0.93</v>
      </c>
      <c r="M38" s="40">
        <f t="shared" si="7"/>
        <v>1.4414143534620454</v>
      </c>
      <c r="N38" s="41">
        <f>indtastning!D54</f>
        <v>10.1</v>
      </c>
      <c r="O38" s="45">
        <f t="shared" si="8"/>
        <v>14.558284969966659</v>
      </c>
      <c r="P38" s="39">
        <f t="shared" si="9"/>
        <v>15.287389866545167</v>
      </c>
      <c r="Q38" s="48">
        <f t="shared" si="10"/>
        <v>13.287389866545167</v>
      </c>
      <c r="R38" s="39">
        <f t="shared" si="30"/>
        <v>20.166221196019976</v>
      </c>
      <c r="S38" s="41">
        <f t="shared" si="11"/>
        <v>16.219333584605941</v>
      </c>
      <c r="T38" s="40">
        <f t="shared" si="19"/>
        <v>1.6058746123372221</v>
      </c>
      <c r="U38" s="40">
        <f t="shared" si="20"/>
        <v>0.47731587426476169</v>
      </c>
      <c r="V38" s="44">
        <f t="shared" si="21"/>
        <v>263.39986820111261</v>
      </c>
      <c r="W38" s="45">
        <f t="shared" si="23"/>
        <v>12.168634089373841</v>
      </c>
      <c r="X38" s="41">
        <f t="shared" si="24"/>
        <v>1.6032692637830583</v>
      </c>
      <c r="Y38" s="45">
        <f t="shared" si="25"/>
        <v>445.88285676106989</v>
      </c>
      <c r="Z38" s="41">
        <f t="shared" si="26"/>
        <v>15.924387741466782</v>
      </c>
      <c r="AA38" s="41">
        <f t="shared" si="27"/>
        <v>0.43459407462049432</v>
      </c>
      <c r="AB38" s="39">
        <f>indtastning!F54/indtastning!E54</f>
        <v>2.477064220183486</v>
      </c>
      <c r="AC38" s="40">
        <f t="shared" si="22"/>
        <v>1.8342197737139565</v>
      </c>
      <c r="AD38" s="40">
        <f t="shared" si="28"/>
        <v>30.236739172615856</v>
      </c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</row>
    <row r="39" spans="1:44" x14ac:dyDescent="0.25">
      <c r="A39" s="37">
        <v>28</v>
      </c>
      <c r="B39" s="39">
        <f t="shared" si="17"/>
        <v>13.889112315694801</v>
      </c>
      <c r="C39" s="39">
        <f>indtastning!E55</f>
        <v>1.07</v>
      </c>
      <c r="D39" s="40">
        <f t="shared" si="3"/>
        <v>0.94</v>
      </c>
      <c r="E39" s="40">
        <f t="shared" si="0"/>
        <v>0.96599999999999997</v>
      </c>
      <c r="F39" s="40">
        <f t="shared" si="4"/>
        <v>1</v>
      </c>
      <c r="G39" s="40">
        <f t="shared" si="5"/>
        <v>0.95011169202080648</v>
      </c>
      <c r="H39" s="50">
        <f t="shared" si="29"/>
        <v>0.77920904799851509</v>
      </c>
      <c r="I39" s="39">
        <f>IF(indtastning!J$23&gt;4.9,5,IF(indtastning!J$23&lt;indtastning!G55,indtastning!J$23,indtastning!G55))</f>
        <v>1.5</v>
      </c>
      <c r="J39" s="39">
        <f t="shared" si="18"/>
        <v>0.77920904799851509</v>
      </c>
      <c r="K39" s="42">
        <f t="shared" si="6"/>
        <v>1.5574212123766773</v>
      </c>
      <c r="L39" s="40">
        <f t="shared" si="31"/>
        <v>0.93</v>
      </c>
      <c r="M39" s="42">
        <f t="shared" si="7"/>
        <v>1.44840172751031</v>
      </c>
      <c r="N39" s="39">
        <f>indtastning!D55</f>
        <v>10.9</v>
      </c>
      <c r="O39" s="48">
        <f t="shared" si="8"/>
        <v>15.78757882986238</v>
      </c>
      <c r="P39" s="39">
        <f t="shared" si="9"/>
        <v>15.292423489497578</v>
      </c>
      <c r="Q39" s="48">
        <f t="shared" si="10"/>
        <v>13.292423489497578</v>
      </c>
      <c r="R39" s="39">
        <f t="shared" si="30"/>
        <v>20.172680993823068</v>
      </c>
      <c r="S39" s="41">
        <f t="shared" si="11"/>
        <v>17.089110115287777</v>
      </c>
      <c r="T39" s="42">
        <f t="shared" si="19"/>
        <v>1.5678082674575942</v>
      </c>
      <c r="U39" s="42">
        <f t="shared" si="20"/>
        <v>0.49700531893616323</v>
      </c>
      <c r="V39" s="51">
        <f t="shared" si="21"/>
        <v>271.03972556052861</v>
      </c>
      <c r="W39" s="48">
        <f t="shared" si="23"/>
        <v>12.947843137372356</v>
      </c>
      <c r="X39" s="39">
        <f t="shared" si="24"/>
        <v>1.603433126718691</v>
      </c>
      <c r="Y39" s="48">
        <f t="shared" si="25"/>
        <v>462.97196687635767</v>
      </c>
      <c r="Z39" s="39">
        <f t="shared" si="26"/>
        <v>15.964550581943367</v>
      </c>
      <c r="AA39" s="39">
        <f t="shared" si="27"/>
        <v>0.44647734956456397</v>
      </c>
      <c r="AB39" s="39">
        <f>indtastning!F55/indtastning!E55</f>
        <v>2.2429906542056073</v>
      </c>
      <c r="AC39" s="40">
        <f t="shared" si="22"/>
        <v>1.8986931195209</v>
      </c>
      <c r="AD39" s="40">
        <f t="shared" si="28"/>
        <v>32.135432292136755</v>
      </c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</row>
    <row r="40" spans="1:44" x14ac:dyDescent="0.25">
      <c r="A40" s="28">
        <v>29</v>
      </c>
      <c r="B40" s="41">
        <f t="shared" si="17"/>
        <v>14.386117634630963</v>
      </c>
      <c r="C40" s="41">
        <f>indtastning!E56</f>
        <v>1.07</v>
      </c>
      <c r="D40" s="40">
        <f t="shared" si="3"/>
        <v>0.94</v>
      </c>
      <c r="E40" s="40">
        <f t="shared" si="0"/>
        <v>0.96599999999999997</v>
      </c>
      <c r="F40" s="40">
        <f t="shared" si="4"/>
        <v>1</v>
      </c>
      <c r="G40" s="40">
        <f t="shared" si="5"/>
        <v>0.95140390585004042</v>
      </c>
      <c r="H40" s="50">
        <f t="shared" si="29"/>
        <v>0.80670822432397926</v>
      </c>
      <c r="I40" s="39">
        <f>IF(indtastning!J$23&gt;4.9,5,IF(indtastning!J$23&lt;indtastning!G56,indtastning!J$23,indtastning!G56))</f>
        <v>1.5</v>
      </c>
      <c r="J40" s="41">
        <f t="shared" si="18"/>
        <v>0.80670822432397926</v>
      </c>
      <c r="K40" s="40">
        <f t="shared" si="6"/>
        <v>1.5652444442488207</v>
      </c>
      <c r="L40" s="40">
        <f t="shared" si="31"/>
        <v>0.93</v>
      </c>
      <c r="M40" s="40">
        <f t="shared" si="7"/>
        <v>1.4556773331514032</v>
      </c>
      <c r="N40" s="41">
        <f>indtastning!D56</f>
        <v>10.9</v>
      </c>
      <c r="O40" s="45">
        <f t="shared" si="8"/>
        <v>15.866882931350295</v>
      </c>
      <c r="P40" s="39">
        <f t="shared" si="9"/>
        <v>15.297591749530445</v>
      </c>
      <c r="Q40" s="48">
        <f t="shared" si="10"/>
        <v>13.297591749530445</v>
      </c>
      <c r="R40" s="39">
        <f t="shared" si="30"/>
        <v>20.179290358889215</v>
      </c>
      <c r="S40" s="41">
        <f t="shared" si="11"/>
        <v>17.148199745593878</v>
      </c>
      <c r="T40" s="40">
        <f t="shared" si="19"/>
        <v>1.5732293344581538</v>
      </c>
      <c r="U40" s="40">
        <f t="shared" si="20"/>
        <v>0.51277217291516042</v>
      </c>
      <c r="V40" s="44">
        <f t="shared" si="21"/>
        <v>278.83164257348147</v>
      </c>
      <c r="W40" s="45">
        <f t="shared" si="23"/>
        <v>13.754551361696334</v>
      </c>
      <c r="X40" s="41">
        <f t="shared" si="24"/>
        <v>1.601243479555597</v>
      </c>
      <c r="Y40" s="45">
        <f t="shared" si="25"/>
        <v>480.12016662195157</v>
      </c>
      <c r="Z40" s="41">
        <f t="shared" si="26"/>
        <v>16.004005554065053</v>
      </c>
      <c r="AA40" s="41">
        <f t="shared" si="27"/>
        <v>0.45848504538987783</v>
      </c>
      <c r="AB40" s="39">
        <f>indtastning!F56/indtastning!E56</f>
        <v>2.2429906542056073</v>
      </c>
      <c r="AC40" s="40">
        <f t="shared" si="22"/>
        <v>1.7477586123331179</v>
      </c>
      <c r="AD40" s="40">
        <f t="shared" si="28"/>
        <v>33.88319090446987</v>
      </c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</row>
    <row r="41" spans="1:44" x14ac:dyDescent="0.25">
      <c r="A41" s="28">
        <v>30</v>
      </c>
      <c r="B41" s="41">
        <f t="shared" si="17"/>
        <v>14.898889807546123</v>
      </c>
      <c r="C41" s="41">
        <f>indtastning!E57</f>
        <v>1.07</v>
      </c>
      <c r="D41" s="40">
        <f t="shared" si="3"/>
        <v>0.94</v>
      </c>
      <c r="E41" s="40">
        <f t="shared" si="0"/>
        <v>0.96599999999999997</v>
      </c>
      <c r="F41" s="40">
        <f t="shared" si="4"/>
        <v>1</v>
      </c>
      <c r="G41" s="40">
        <f t="shared" si="5"/>
        <v>0.95273711349961987</v>
      </c>
      <c r="H41" s="50">
        <f t="shared" si="29"/>
        <v>0.835047607603289</v>
      </c>
      <c r="I41" s="39">
        <f>IF(indtastning!J$23&gt;4.9,5,IF(indtastning!J$23&lt;indtastning!G57,indtastning!J$23,indtastning!G57))</f>
        <v>1.5</v>
      </c>
      <c r="J41" s="41">
        <f t="shared" si="18"/>
        <v>0.835047607603289</v>
      </c>
      <c r="K41" s="40">
        <f t="shared" si="6"/>
        <v>1.5733158580817446</v>
      </c>
      <c r="L41" s="40">
        <f t="shared" si="31"/>
        <v>0.93010013885162635</v>
      </c>
      <c r="M41" s="40">
        <f t="shared" si="7"/>
        <v>1.4633412980592964</v>
      </c>
      <c r="N41" s="41">
        <f>indtastning!D57</f>
        <v>10.9</v>
      </c>
      <c r="O41" s="45">
        <f t="shared" si="8"/>
        <v>15.95042014884633</v>
      </c>
      <c r="P41" s="39">
        <f t="shared" si="9"/>
        <v>15.302849645573076</v>
      </c>
      <c r="Q41" s="48">
        <f t="shared" si="10"/>
        <v>13.302849645573076</v>
      </c>
      <c r="R41" s="39">
        <f t="shared" si="30"/>
        <v>20.185990800506257</v>
      </c>
      <c r="S41" s="41">
        <f t="shared" si="11"/>
        <v>17.210300291279555</v>
      </c>
      <c r="T41" s="40">
        <f t="shared" si="19"/>
        <v>1.5789266322274822</v>
      </c>
      <c r="U41" s="40">
        <f t="shared" si="20"/>
        <v>0.52887043042984183</v>
      </c>
      <c r="V41" s="44">
        <f t="shared" si="21"/>
        <v>286.62966025153742</v>
      </c>
      <c r="W41" s="45">
        <f t="shared" si="23"/>
        <v>14.589598969299624</v>
      </c>
      <c r="X41" s="41">
        <f t="shared" si="24"/>
        <v>1.5995729297084098</v>
      </c>
      <c r="Y41" s="45">
        <f t="shared" si="25"/>
        <v>497.33046691323113</v>
      </c>
      <c r="Z41" s="41">
        <f t="shared" si="26"/>
        <v>16.042918287523584</v>
      </c>
      <c r="AA41" s="41">
        <f t="shared" si="27"/>
        <v>0.47063222481611688</v>
      </c>
      <c r="AB41" s="39">
        <f>indtastning!F57/indtastning!E57</f>
        <v>2.2429906542056073</v>
      </c>
      <c r="AC41" s="40">
        <f t="shared" si="22"/>
        <v>1.809439007829486</v>
      </c>
      <c r="AD41" s="40">
        <f t="shared" si="28"/>
        <v>35.69262991229936</v>
      </c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</row>
    <row r="42" spans="1:44" x14ac:dyDescent="0.25">
      <c r="A42" s="28">
        <v>31</v>
      </c>
      <c r="B42" s="41">
        <f t="shared" si="17"/>
        <v>15.427760237975965</v>
      </c>
      <c r="C42" s="41">
        <f>indtastning!E58</f>
        <v>1.07</v>
      </c>
      <c r="D42" s="40">
        <f t="shared" si="3"/>
        <v>0.94</v>
      </c>
      <c r="E42" s="40">
        <f t="shared" si="0"/>
        <v>0.96599999999999997</v>
      </c>
      <c r="F42" s="40">
        <f t="shared" si="4"/>
        <v>1</v>
      </c>
      <c r="G42" s="40">
        <f t="shared" si="5"/>
        <v>0.95411217661873748</v>
      </c>
      <c r="H42" s="50">
        <f t="shared" si="29"/>
        <v>0.86424198743365055</v>
      </c>
      <c r="I42" s="39">
        <f>IF(indtastning!J$23&gt;4.9,5,IF(indtastning!J$23&lt;indtastning!G58,indtastning!J$23,indtastning!G58))</f>
        <v>1.5</v>
      </c>
      <c r="J42" s="41">
        <f t="shared" si="18"/>
        <v>0.86424198743365055</v>
      </c>
      <c r="K42" s="40">
        <f t="shared" si="6"/>
        <v>1.5816406704125847</v>
      </c>
      <c r="L42" s="40">
        <f t="shared" si="31"/>
        <v>0.93107295718808969</v>
      </c>
      <c r="M42" s="40">
        <f t="shared" si="7"/>
        <v>1.4726228562099979</v>
      </c>
      <c r="N42" s="41">
        <f>indtastning!D58</f>
        <v>10.9</v>
      </c>
      <c r="O42" s="45">
        <f t="shared" si="8"/>
        <v>16.051589132688978</v>
      </c>
      <c r="P42" s="39">
        <f t="shared" si="9"/>
        <v>15.30819732163472</v>
      </c>
      <c r="Q42" s="48">
        <f t="shared" si="10"/>
        <v>13.30819732163472</v>
      </c>
      <c r="R42" s="39">
        <f t="shared" si="30"/>
        <v>20.192781876338206</v>
      </c>
      <c r="S42" s="41">
        <f t="shared" si="11"/>
        <v>17.284856619228545</v>
      </c>
      <c r="T42" s="40">
        <f t="shared" si="19"/>
        <v>1.5857666623145454</v>
      </c>
      <c r="U42" s="40">
        <f t="shared" si="20"/>
        <v>0.54499946806311628</v>
      </c>
      <c r="V42" s="44">
        <f t="shared" si="21"/>
        <v>294.44387864438602</v>
      </c>
      <c r="W42" s="45">
        <f t="shared" si="23"/>
        <v>15.453840956733275</v>
      </c>
      <c r="X42" s="41">
        <f t="shared" si="24"/>
        <v>1.5983766651319045</v>
      </c>
      <c r="Y42" s="45">
        <f t="shared" si="25"/>
        <v>514.61532353245968</v>
      </c>
      <c r="Z42" s="41">
        <f t="shared" si="26"/>
        <v>16.081728860389365</v>
      </c>
      <c r="AA42" s="41">
        <f t="shared" si="27"/>
        <v>0.48293252989791485</v>
      </c>
      <c r="AB42" s="39">
        <f>indtastning!F58/indtastning!E58</f>
        <v>2.2429906542056073</v>
      </c>
      <c r="AC42" s="40">
        <f t="shared" si="22"/>
        <v>1.8730039796709284</v>
      </c>
      <c r="AD42" s="40">
        <f t="shared" si="28"/>
        <v>37.565633891970286</v>
      </c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</row>
    <row r="43" spans="1:44" x14ac:dyDescent="0.25">
      <c r="A43" s="28">
        <v>32</v>
      </c>
      <c r="B43" s="41">
        <f t="shared" si="17"/>
        <v>15.972759706039081</v>
      </c>
      <c r="C43" s="41">
        <f>indtastning!E59</f>
        <v>1.07</v>
      </c>
      <c r="D43" s="40">
        <f t="shared" si="3"/>
        <v>0.94</v>
      </c>
      <c r="E43" s="40">
        <f t="shared" si="0"/>
        <v>0.96599999999999997</v>
      </c>
      <c r="F43" s="40">
        <f t="shared" si="4"/>
        <v>1</v>
      </c>
      <c r="G43" s="40">
        <f t="shared" si="5"/>
        <v>0.95552917523570158</v>
      </c>
      <c r="H43" s="50">
        <f t="shared" si="29"/>
        <v>0.89428931571793868</v>
      </c>
      <c r="I43" s="39">
        <f>IF(indtastning!J$23&gt;4.9,5,IF(indtastning!J$23&lt;indtastning!G59,indtastning!J$23,indtastning!G59))</f>
        <v>1.5</v>
      </c>
      <c r="J43" s="41">
        <f t="shared" si="18"/>
        <v>0.89428931571793868</v>
      </c>
      <c r="K43" s="40">
        <f t="shared" si="6"/>
        <v>1.5902193657432078</v>
      </c>
      <c r="L43" s="40">
        <f t="shared" si="31"/>
        <v>0.93204322150973418</v>
      </c>
      <c r="M43" s="40">
        <f t="shared" si="7"/>
        <v>1.4821531805544657</v>
      </c>
      <c r="N43" s="41">
        <f>indtastning!D59</f>
        <v>10.9</v>
      </c>
      <c r="O43" s="45">
        <f t="shared" si="8"/>
        <v>16.155469668043676</v>
      </c>
      <c r="P43" s="39">
        <f t="shared" si="9"/>
        <v>15.313631911913848</v>
      </c>
      <c r="Q43" s="48">
        <f t="shared" si="10"/>
        <v>13.313631911913848</v>
      </c>
      <c r="R43" s="39">
        <f t="shared" si="30"/>
        <v>20.199659351273546</v>
      </c>
      <c r="S43" s="41">
        <f t="shared" si="11"/>
        <v>17.361346989060483</v>
      </c>
      <c r="T43" s="40">
        <f t="shared" si="19"/>
        <v>1.5927841274367414</v>
      </c>
      <c r="U43" s="40">
        <f t="shared" si="20"/>
        <v>0.56146297562439518</v>
      </c>
      <c r="V43" s="44">
        <f t="shared" si="21"/>
        <v>302.27374081372125</v>
      </c>
      <c r="W43" s="45">
        <f t="shared" si="23"/>
        <v>16.348130272451215</v>
      </c>
      <c r="X43" s="41">
        <f t="shared" si="24"/>
        <v>1.5976661703985926</v>
      </c>
      <c r="Y43" s="45">
        <f t="shared" si="25"/>
        <v>531.97667052152019</v>
      </c>
      <c r="Z43" s="41">
        <f t="shared" si="26"/>
        <v>16.120505167318793</v>
      </c>
      <c r="AA43" s="41">
        <f t="shared" si="27"/>
        <v>0.49539788704397619</v>
      </c>
      <c r="AB43" s="39">
        <f>indtastning!F59/indtastning!E59</f>
        <v>2.2429906542056073</v>
      </c>
      <c r="AC43" s="40">
        <f t="shared" si="22"/>
        <v>1.938486700785758</v>
      </c>
      <c r="AD43" s="40">
        <f t="shared" si="28"/>
        <v>39.504120592756045</v>
      </c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</row>
    <row r="44" spans="1:44" x14ac:dyDescent="0.25">
      <c r="A44" s="28">
        <v>33</v>
      </c>
      <c r="B44" s="41">
        <f t="shared" si="17"/>
        <v>16.534222681663476</v>
      </c>
      <c r="C44" s="41">
        <f>indtastning!E60</f>
        <v>1.07</v>
      </c>
      <c r="D44" s="40">
        <f t="shared" si="3"/>
        <v>0.94</v>
      </c>
      <c r="E44" s="40">
        <f t="shared" si="0"/>
        <v>0.96599999999999997</v>
      </c>
      <c r="F44" s="40">
        <f t="shared" si="4"/>
        <v>1</v>
      </c>
      <c r="G44" s="40">
        <f t="shared" si="5"/>
        <v>0.95698897897232504</v>
      </c>
      <c r="H44" s="50">
        <f t="shared" si="29"/>
        <v>0.92520405167479347</v>
      </c>
      <c r="I44" s="39">
        <f>IF(indtastning!J$23&gt;4.9,5,IF(indtastning!J$23&lt;indtastning!G60,indtastning!J$23,indtastning!G60))</f>
        <v>1.5</v>
      </c>
      <c r="J44" s="41">
        <f t="shared" si="18"/>
        <v>0.92520405167479347</v>
      </c>
      <c r="K44" s="40">
        <f t="shared" si="6"/>
        <v>1.5990572088780362</v>
      </c>
      <c r="L44" s="40">
        <f t="shared" si="31"/>
        <v>0.9330126291829699</v>
      </c>
      <c r="M44" s="40">
        <f t="shared" si="7"/>
        <v>1.4919405706692779</v>
      </c>
      <c r="N44" s="41">
        <f>indtastning!D60</f>
        <v>10.9</v>
      </c>
      <c r="O44" s="45">
        <f t="shared" si="8"/>
        <v>16.262152220295128</v>
      </c>
      <c r="P44" s="39">
        <f t="shared" si="9"/>
        <v>15.319153650056347</v>
      </c>
      <c r="Q44" s="48">
        <f t="shared" si="10"/>
        <v>13.319153650056347</v>
      </c>
      <c r="R44" s="39">
        <f t="shared" si="30"/>
        <v>20.206622954119211</v>
      </c>
      <c r="S44" s="41">
        <f t="shared" si="11"/>
        <v>17.439834074637758</v>
      </c>
      <c r="T44" s="40">
        <f t="shared" si="19"/>
        <v>1.5999847774897025</v>
      </c>
      <c r="U44" s="40">
        <f t="shared" si="20"/>
        <v>0.57825803388354302</v>
      </c>
      <c r="V44" s="44">
        <f t="shared" si="21"/>
        <v>310.12796005040832</v>
      </c>
      <c r="W44" s="45">
        <f t="shared" si="23"/>
        <v>17.273334324126008</v>
      </c>
      <c r="X44" s="41">
        <f t="shared" si="24"/>
        <v>1.5973983350725747</v>
      </c>
      <c r="Y44" s="45">
        <f t="shared" si="25"/>
        <v>549.41650459615789</v>
      </c>
      <c r="Z44" s="41">
        <f t="shared" si="26"/>
        <v>16.159308958710525</v>
      </c>
      <c r="AA44" s="41">
        <f t="shared" si="27"/>
        <v>0.5080392448272355</v>
      </c>
      <c r="AB44" s="39">
        <f>indtastning!F60/indtastning!E60</f>
        <v>2.2429906542056073</v>
      </c>
      <c r="AC44" s="40">
        <f t="shared" si="22"/>
        <v>2.0058825773112643</v>
      </c>
      <c r="AD44" s="40">
        <f t="shared" si="28"/>
        <v>41.510003170067307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</row>
    <row r="45" spans="1:44" x14ac:dyDescent="0.25">
      <c r="A45" s="28">
        <v>34</v>
      </c>
      <c r="B45" s="41">
        <f t="shared" si="17"/>
        <v>17.112480715547019</v>
      </c>
      <c r="C45" s="41">
        <f>indtastning!E61</f>
        <v>1.07</v>
      </c>
      <c r="D45" s="40">
        <f t="shared" si="3"/>
        <v>0.94</v>
      </c>
      <c r="E45" s="40">
        <f t="shared" si="0"/>
        <v>0.96599999999999997</v>
      </c>
      <c r="F45" s="40">
        <f t="shared" si="4"/>
        <v>1</v>
      </c>
      <c r="G45" s="40">
        <f t="shared" si="5"/>
        <v>0.95849244986042226</v>
      </c>
      <c r="H45" s="50">
        <f t="shared" si="29"/>
        <v>0.95700018990667002</v>
      </c>
      <c r="I45" s="39">
        <f>IF(indtastning!J$23&gt;4.9,5,IF(indtastning!J$23&lt;indtastning!G61,indtastning!J$23,indtastning!G61))</f>
        <v>1.5</v>
      </c>
      <c r="J45" s="41">
        <f t="shared" si="18"/>
        <v>0.95700018990667002</v>
      </c>
      <c r="K45" s="40">
        <f t="shared" si="6"/>
        <v>1.6081594186706476</v>
      </c>
      <c r="L45" s="40">
        <f t="shared" si="31"/>
        <v>0.93398272396776316</v>
      </c>
      <c r="M45" s="40">
        <f t="shared" si="7"/>
        <v>1.5019931144244258</v>
      </c>
      <c r="N45" s="41">
        <f>indtastning!D61</f>
        <v>10.9</v>
      </c>
      <c r="O45" s="45">
        <f t="shared" si="8"/>
        <v>16.371724947226241</v>
      </c>
      <c r="P45" s="39">
        <f t="shared" si="9"/>
        <v>15.324762707580154</v>
      </c>
      <c r="Q45" s="48">
        <f t="shared" si="10"/>
        <v>13.324762707580154</v>
      </c>
      <c r="R45" s="39">
        <f t="shared" si="30"/>
        <v>20.213672342749028</v>
      </c>
      <c r="S45" s="41">
        <f t="shared" si="11"/>
        <v>17.520378872512467</v>
      </c>
      <c r="T45" s="40">
        <f>S45/N45</f>
        <v>1.6073742084873821</v>
      </c>
      <c r="U45" s="40">
        <f t="shared" si="20"/>
        <v>0.59538107856493117</v>
      </c>
      <c r="V45" s="44">
        <f t="shared" si="21"/>
        <v>318.01413869255936</v>
      </c>
      <c r="W45" s="45">
        <f t="shared" si="23"/>
        <v>18.230334514032677</v>
      </c>
      <c r="X45" s="41">
        <f t="shared" si="24"/>
        <v>1.5975366595835012</v>
      </c>
      <c r="Y45" s="45">
        <f t="shared" si="25"/>
        <v>566.93688346867032</v>
      </c>
      <c r="Z45" s="41">
        <f t="shared" si="26"/>
        <v>16.198196670533438</v>
      </c>
      <c r="AA45" s="41">
        <f t="shared" si="27"/>
        <v>0.52086670040093364</v>
      </c>
      <c r="AB45" s="39">
        <f>indtastning!F61/indtastning!E61</f>
        <v>2.2429906542056073</v>
      </c>
      <c r="AC45" s="40">
        <f t="shared" si="22"/>
        <v>2.0752240411397236</v>
      </c>
      <c r="AD45" s="40">
        <f t="shared" si="28"/>
        <v>43.585227211207034</v>
      </c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</row>
    <row r="46" spans="1:44" x14ac:dyDescent="0.25">
      <c r="A46" s="37">
        <v>35</v>
      </c>
      <c r="B46" s="39">
        <f t="shared" si="17"/>
        <v>17.707861794111949</v>
      </c>
      <c r="C46" s="39">
        <f>indtastning!E62</f>
        <v>1.07</v>
      </c>
      <c r="D46" s="40">
        <f t="shared" si="3"/>
        <v>0.94</v>
      </c>
      <c r="E46" s="40">
        <f t="shared" si="0"/>
        <v>0.96599999999999997</v>
      </c>
      <c r="F46" s="40">
        <f t="shared" si="4"/>
        <v>1</v>
      </c>
      <c r="G46" s="40">
        <f t="shared" si="5"/>
        <v>0.96004044066469107</v>
      </c>
      <c r="H46" s="50">
        <f t="shared" si="29"/>
        <v>0.98969120740698091</v>
      </c>
      <c r="I46" s="39">
        <f>IF(indtastning!J$23&gt;4.9,5,IF(indtastning!J$23&lt;indtastning!G62,indtastning!J$23,indtastning!G62))</f>
        <v>1.5</v>
      </c>
      <c r="J46" s="39">
        <f t="shared" si="18"/>
        <v>0.98969120740698091</v>
      </c>
      <c r="K46" s="42">
        <f t="shared" si="6"/>
        <v>1.6175311578702807</v>
      </c>
      <c r="L46" s="40">
        <f t="shared" si="31"/>
        <v>0.93495491676333597</v>
      </c>
      <c r="M46" s="42">
        <f t="shared" si="7"/>
        <v>1.5123187090687107</v>
      </c>
      <c r="N46" s="39">
        <f>indtastning!D62</f>
        <v>10.9</v>
      </c>
      <c r="O46" s="48">
        <f t="shared" si="8"/>
        <v>16.484273928848946</v>
      </c>
      <c r="P46" s="39">
        <f t="shared" si="9"/>
        <v>15.330459192053253</v>
      </c>
      <c r="Q46" s="48">
        <f t="shared" si="10"/>
        <v>13.330459192053253</v>
      </c>
      <c r="R46" s="39">
        <f t="shared" si="30"/>
        <v>20.220807103006972</v>
      </c>
      <c r="S46" s="41">
        <f t="shared" si="11"/>
        <v>17.603040864715314</v>
      </c>
      <c r="T46" s="42">
        <f t="shared" si="19"/>
        <v>1.6149578774968179</v>
      </c>
      <c r="U46" s="42">
        <f t="shared" si="20"/>
        <v>0.6128278769357135</v>
      </c>
      <c r="V46" s="51">
        <f t="shared" si="21"/>
        <v>325.93890840319852</v>
      </c>
      <c r="W46" s="48">
        <f t="shared" si="23"/>
        <v>19.220025721439658</v>
      </c>
      <c r="X46" s="39">
        <f t="shared" si="24"/>
        <v>1.5980500853755153</v>
      </c>
      <c r="Y46" s="48">
        <f t="shared" si="25"/>
        <v>584.53992433338567</v>
      </c>
      <c r="Z46" s="39">
        <f t="shared" si="26"/>
        <v>16.237220120371823</v>
      </c>
      <c r="AA46" s="39">
        <f t="shared" si="27"/>
        <v>0.53388960337332381</v>
      </c>
      <c r="AB46" s="39">
        <f>indtastning!F62/indtastning!E62</f>
        <v>2.2429906542056073</v>
      </c>
      <c r="AC46" s="40">
        <f t="shared" si="22"/>
        <v>2.1465424820336523</v>
      </c>
      <c r="AD46" s="40">
        <f t="shared" si="28"/>
        <v>45.731769693240686</v>
      </c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</row>
    <row r="47" spans="1:44" x14ac:dyDescent="0.25">
      <c r="A47" s="28">
        <v>36</v>
      </c>
      <c r="B47" s="41">
        <f t="shared" si="17"/>
        <v>18.320689671047663</v>
      </c>
      <c r="C47" s="41">
        <f>indtastning!E63</f>
        <v>1.07</v>
      </c>
      <c r="D47" s="40">
        <f t="shared" si="3"/>
        <v>0.94</v>
      </c>
      <c r="E47" s="40">
        <f t="shared" si="0"/>
        <v>0.96599999999999997</v>
      </c>
      <c r="F47" s="40">
        <f t="shared" si="4"/>
        <v>1</v>
      </c>
      <c r="G47" s="40">
        <f t="shared" si="5"/>
        <v>0.96163379314472386</v>
      </c>
      <c r="H47" s="50">
        <f t="shared" si="29"/>
        <v>1.023290008724663</v>
      </c>
      <c r="I47" s="39">
        <f>IF(indtastning!J$23&gt;4.9,5,IF(indtastning!J$23&lt;indtastning!G63,indtastning!J$23,indtastning!G63))</f>
        <v>1.5</v>
      </c>
      <c r="J47" s="41">
        <f t="shared" si="18"/>
        <v>1.023290008724663</v>
      </c>
      <c r="K47" s="40">
        <f t="shared" si="6"/>
        <v>1.6271775225998244</v>
      </c>
      <c r="L47" s="40">
        <f t="shared" si="31"/>
        <v>0.93593050300929559</v>
      </c>
      <c r="M47" s="40">
        <f t="shared" si="7"/>
        <v>1.5229250772122731</v>
      </c>
      <c r="N47" s="41">
        <f>indtastning!D63</f>
        <v>10.9</v>
      </c>
      <c r="O47" s="45">
        <f t="shared" si="8"/>
        <v>16.599883341613776</v>
      </c>
      <c r="P47" s="39">
        <f t="shared" si="9"/>
        <v>15.336243145299658</v>
      </c>
      <c r="Q47" s="48">
        <f t="shared" si="10"/>
        <v>13.336243145299658</v>
      </c>
      <c r="R47" s="39">
        <f t="shared" si="30"/>
        <v>20.228026747657758</v>
      </c>
      <c r="S47" s="41">
        <f t="shared" si="11"/>
        <v>17.687878142453179</v>
      </c>
      <c r="T47" s="40">
        <f t="shared" si="19"/>
        <v>1.6227411139865302</v>
      </c>
      <c r="U47" s="40">
        <f t="shared" si="20"/>
        <v>0.63059350620061816</v>
      </c>
      <c r="V47" s="44">
        <f t="shared" si="21"/>
        <v>333.90804641799065</v>
      </c>
      <c r="W47" s="45">
        <f t="shared" si="23"/>
        <v>20.243315730164319</v>
      </c>
      <c r="X47" s="41">
        <f t="shared" si="24"/>
        <v>1.5989120630683862</v>
      </c>
      <c r="Y47" s="45">
        <f t="shared" si="25"/>
        <v>602.22780247583887</v>
      </c>
      <c r="Z47" s="41">
        <f t="shared" si="26"/>
        <v>16.276427093941592</v>
      </c>
      <c r="AA47" s="41">
        <f t="shared" si="27"/>
        <v>0.54711664135579241</v>
      </c>
      <c r="AB47" s="39">
        <f>indtastning!F63/indtastning!E63</f>
        <v>2.2429906542056073</v>
      </c>
      <c r="AC47" s="40">
        <f t="shared" si="22"/>
        <v>2.2198681287633213</v>
      </c>
      <c r="AD47" s="40">
        <f t="shared" si="28"/>
        <v>47.95163782200401</v>
      </c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</row>
    <row r="48" spans="1:44" x14ac:dyDescent="0.25">
      <c r="A48" s="28">
        <v>37</v>
      </c>
      <c r="B48" s="41">
        <f t="shared" si="17"/>
        <v>18.951283177248282</v>
      </c>
      <c r="C48" s="41">
        <f>indtastning!E64</f>
        <v>1.07</v>
      </c>
      <c r="D48" s="40">
        <f t="shared" si="3"/>
        <v>0.94</v>
      </c>
      <c r="E48" s="40">
        <f t="shared" si="0"/>
        <v>0.96599999999999997</v>
      </c>
      <c r="F48" s="40">
        <f t="shared" si="4"/>
        <v>1</v>
      </c>
      <c r="G48" s="40">
        <f t="shared" si="5"/>
        <v>0.96327333626084555</v>
      </c>
      <c r="H48" s="50">
        <f t="shared" si="29"/>
        <v>1.0578088694163248</v>
      </c>
      <c r="I48" s="39">
        <f>IF(indtastning!J$23&gt;4.9,5,IF(indtastning!J$23&lt;indtastning!G64,indtastning!J$23,indtastning!G64))</f>
        <v>1.5</v>
      </c>
      <c r="J48" s="41">
        <f t="shared" si="18"/>
        <v>1.0578088694163248</v>
      </c>
      <c r="K48" s="40">
        <f t="shared" si="6"/>
        <v>1.637103531493723</v>
      </c>
      <c r="L48" s="40">
        <f t="shared" si="31"/>
        <v>0.93691067734853983</v>
      </c>
      <c r="M48" s="40">
        <f t="shared" si="7"/>
        <v>1.5338197785814707</v>
      </c>
      <c r="N48" s="41">
        <f>indtastning!D64</f>
        <v>10.9</v>
      </c>
      <c r="O48" s="45">
        <f t="shared" si="8"/>
        <v>16.718635586538031</v>
      </c>
      <c r="P48" s="39">
        <f t="shared" si="9"/>
        <v>15.342114541648925</v>
      </c>
      <c r="Q48" s="48">
        <f t="shared" si="10"/>
        <v>13.342114541648925</v>
      </c>
      <c r="R48" s="39">
        <f t="shared" si="30"/>
        <v>20.235330715402075</v>
      </c>
      <c r="S48" s="41">
        <f t="shared" si="11"/>
        <v>17.774947497449244</v>
      </c>
      <c r="T48" s="40">
        <f t="shared" si="19"/>
        <v>1.6307291282063525</v>
      </c>
      <c r="U48" s="40">
        <f t="shared" si="20"/>
        <v>0.64867233381660039</v>
      </c>
      <c r="V48" s="44">
        <f t="shared" si="21"/>
        <v>341.92657235806166</v>
      </c>
      <c r="W48" s="45">
        <f t="shared" si="23"/>
        <v>21.301124599580643</v>
      </c>
      <c r="X48" s="41">
        <f t="shared" si="24"/>
        <v>1.6000998038340759</v>
      </c>
      <c r="Y48" s="45">
        <f t="shared" si="25"/>
        <v>620.00274997328813</v>
      </c>
      <c r="Z48" s="41">
        <f t="shared" si="26"/>
        <v>16.31586184140232</v>
      </c>
      <c r="AA48" s="41">
        <f t="shared" si="27"/>
        <v>0.56055591051528009</v>
      </c>
      <c r="AB48" s="39">
        <f>indtastning!F64/indtastning!E64</f>
        <v>2.2429906542056073</v>
      </c>
      <c r="AC48" s="40">
        <f t="shared" si="22"/>
        <v>2.2952299261113933</v>
      </c>
      <c r="AD48" s="40">
        <f t="shared" si="28"/>
        <v>50.246867748115406</v>
      </c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</row>
    <row r="49" spans="1:44" x14ac:dyDescent="0.25">
      <c r="A49" s="28">
        <v>38</v>
      </c>
      <c r="B49" s="41">
        <f t="shared" si="17"/>
        <v>19.599955511064881</v>
      </c>
      <c r="C49" s="41">
        <f>indtastning!E65</f>
        <v>1.07</v>
      </c>
      <c r="D49" s="40">
        <f t="shared" si="3"/>
        <v>0.94</v>
      </c>
      <c r="E49" s="40">
        <f t="shared" si="0"/>
        <v>0.96599999999999997</v>
      </c>
      <c r="F49" s="40">
        <f t="shared" si="4"/>
        <v>1</v>
      </c>
      <c r="G49" s="40">
        <f t="shared" si="5"/>
        <v>0.96495988432876867</v>
      </c>
      <c r="H49" s="50">
        <f t="shared" si="29"/>
        <v>1.0932593779286681</v>
      </c>
      <c r="I49" s="39">
        <f>IF(indtastning!J$23&gt;4.9,5,IF(indtastning!J$23&lt;indtastning!G65,indtastning!J$23,indtastning!G65))</f>
        <v>1.5</v>
      </c>
      <c r="J49" s="41">
        <f t="shared" si="18"/>
        <v>1.0932593779286681</v>
      </c>
      <c r="K49" s="40">
        <f t="shared" si="6"/>
        <v>1.6473141145260213</v>
      </c>
      <c r="L49" s="40">
        <f t="shared" si="31"/>
        <v>0.93789654603505801</v>
      </c>
      <c r="M49" s="40">
        <f t="shared" si="7"/>
        <v>1.5450102182487553</v>
      </c>
      <c r="N49" s="41">
        <f>indtastning!D65</f>
        <v>10.9</v>
      </c>
      <c r="O49" s="45">
        <f t="shared" si="8"/>
        <v>16.840611378911433</v>
      </c>
      <c r="P49" s="39">
        <f t="shared" si="9"/>
        <v>15.348073286243613</v>
      </c>
      <c r="Q49" s="48">
        <f t="shared" si="10"/>
        <v>13.348073286243613</v>
      </c>
      <c r="R49" s="39">
        <f t="shared" si="30"/>
        <v>20.242718369971982</v>
      </c>
      <c r="S49" s="41">
        <f t="shared" si="11"/>
        <v>17.864304486331914</v>
      </c>
      <c r="T49" s="40">
        <f t="shared" si="19"/>
        <v>1.638927017094671</v>
      </c>
      <c r="U49" s="40">
        <f t="shared" si="20"/>
        <v>0.66705799985327663</v>
      </c>
      <c r="V49" s="44">
        <f t="shared" si="21"/>
        <v>349.99882923854949</v>
      </c>
      <c r="W49" s="45">
        <f t="shared" si="23"/>
        <v>22.39438397750931</v>
      </c>
      <c r="X49" s="40">
        <f t="shared" si="24"/>
        <v>1.6015936731411771</v>
      </c>
      <c r="Y49" s="45">
        <f t="shared" si="25"/>
        <v>637.86705445962002</v>
      </c>
      <c r="Z49" s="41">
        <f t="shared" si="26"/>
        <v>16.355565498964616</v>
      </c>
      <c r="AA49" s="41">
        <f t="shared" si="27"/>
        <v>0.57421497378229003</v>
      </c>
      <c r="AB49" s="39">
        <f>indtastning!F65/indtastning!E65</f>
        <v>2.2429906542056073</v>
      </c>
      <c r="AC49" s="40">
        <f t="shared" si="22"/>
        <v>2.372655408036616</v>
      </c>
      <c r="AD49" s="40">
        <f t="shared" si="28"/>
        <v>52.61952315615202</v>
      </c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</row>
    <row r="50" spans="1:44" x14ac:dyDescent="0.25">
      <c r="A50" s="28">
        <v>39</v>
      </c>
      <c r="B50" s="41">
        <f t="shared" si="17"/>
        <v>20.267013510918158</v>
      </c>
      <c r="C50" s="41">
        <f>indtastning!E66</f>
        <v>1.07</v>
      </c>
      <c r="D50" s="40">
        <f t="shared" si="3"/>
        <v>0.94</v>
      </c>
      <c r="E50" s="40">
        <f t="shared" si="0"/>
        <v>0.96599999999999997</v>
      </c>
      <c r="F50" s="40">
        <f t="shared" si="4"/>
        <v>1</v>
      </c>
      <c r="G50" s="40">
        <f t="shared" si="5"/>
        <v>0.96599999999999997</v>
      </c>
      <c r="H50" s="50">
        <f t="shared" si="29"/>
        <v>1.128841111932698</v>
      </c>
      <c r="I50" s="39">
        <f>IF(indtastning!J$23&gt;4.9,5,IF(indtastning!J$23&lt;indtastning!G66,indtastning!J$23,indtastning!G66))</f>
        <v>1.5</v>
      </c>
      <c r="J50" s="41">
        <f t="shared" si="18"/>
        <v>1.128841111932698</v>
      </c>
      <c r="K50" s="40">
        <f t="shared" si="6"/>
        <v>1.6578141015607488</v>
      </c>
      <c r="L50" s="40">
        <f t="shared" si="31"/>
        <v>0.9388891374741154</v>
      </c>
      <c r="M50" s="40">
        <f t="shared" si="7"/>
        <v>1.556503651906797</v>
      </c>
      <c r="N50" s="41">
        <f>indtastning!D66</f>
        <v>10.9</v>
      </c>
      <c r="O50" s="45">
        <f t="shared" si="8"/>
        <v>16.965889805784087</v>
      </c>
      <c r="P50" s="39">
        <f t="shared" si="9"/>
        <v>15.354119213418295</v>
      </c>
      <c r="Q50" s="48">
        <f t="shared" si="10"/>
        <v>13.354119213418295</v>
      </c>
      <c r="R50" s="39">
        <f t="shared" si="30"/>
        <v>20.250188999320489</v>
      </c>
      <c r="S50" s="41">
        <f t="shared" si="11"/>
        <v>17.956003472452402</v>
      </c>
      <c r="T50" s="40">
        <f t="shared" si="19"/>
        <v>1.6473397681148991</v>
      </c>
      <c r="U50" s="40">
        <f t="shared" si="20"/>
        <v>0.68525093231037892</v>
      </c>
      <c r="V50" s="44">
        <f t="shared" si="21"/>
        <v>358.12855156200402</v>
      </c>
      <c r="W50" s="45">
        <f t="shared" si="23"/>
        <v>23.523225089442008</v>
      </c>
      <c r="X50" s="41">
        <f t="shared" si="24"/>
        <v>1.6033766960992335</v>
      </c>
      <c r="Y50" s="45">
        <f t="shared" si="25"/>
        <v>655.8230579320724</v>
      </c>
      <c r="Z50" s="41">
        <f t="shared" si="26"/>
        <v>16.39557644830181</v>
      </c>
      <c r="AA50" s="40">
        <f t="shared" si="27"/>
        <v>0.58808062723605015</v>
      </c>
      <c r="AB50" s="39">
        <f>indtastning!F66/indtastning!E66</f>
        <v>2.2429906542056073</v>
      </c>
      <c r="AC50" s="40">
        <f t="shared" si="22"/>
        <v>2.4521705673166387</v>
      </c>
      <c r="AD50" s="40">
        <f t="shared" si="28"/>
        <v>55.071693723468655</v>
      </c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x14ac:dyDescent="0.25">
      <c r="A51" s="28">
        <v>40</v>
      </c>
      <c r="B51" s="41">
        <f t="shared" si="17"/>
        <v>20.952264443228536</v>
      </c>
      <c r="C51" s="41">
        <f>indtastning!E67</f>
        <v>1.07</v>
      </c>
      <c r="D51" s="40">
        <f t="shared" si="3"/>
        <v>0.94</v>
      </c>
      <c r="E51" s="40">
        <f t="shared" si="0"/>
        <v>0.96599999999999997</v>
      </c>
      <c r="F51" s="40">
        <f t="shared" si="4"/>
        <v>1</v>
      </c>
      <c r="G51" s="40">
        <f t="shared" si="5"/>
        <v>0.96599999999999997</v>
      </c>
      <c r="H51" s="50">
        <f t="shared" si="29"/>
        <v>1.1639877667373495</v>
      </c>
      <c r="I51" s="39">
        <f>IF(indtastning!J$23&gt;4.9,5,IF(indtastning!J$23&lt;indtastning!G67,indtastning!J$23,indtastning!G67))</f>
        <v>1.5</v>
      </c>
      <c r="J51" s="41">
        <f t="shared" si="18"/>
        <v>1.1639877667373495</v>
      </c>
      <c r="K51" s="40">
        <f t="shared" si="6"/>
        <v>1.6686004588285974</v>
      </c>
      <c r="L51" s="40">
        <f t="shared" si="31"/>
        <v>0.93988941120754532</v>
      </c>
      <c r="M51" s="40">
        <f t="shared" si="7"/>
        <v>1.5682999027890503</v>
      </c>
      <c r="N51" s="41">
        <f>indtastning!D67</f>
        <v>10.9</v>
      </c>
      <c r="O51" s="45">
        <f t="shared" si="8"/>
        <v>17.094468940400649</v>
      </c>
      <c r="P51" s="39">
        <f t="shared" si="9"/>
        <v>15.360247709882264</v>
      </c>
      <c r="Q51" s="48">
        <f t="shared" si="10"/>
        <v>13.360247709882264</v>
      </c>
      <c r="R51" s="39">
        <f t="shared" si="30"/>
        <v>20.257736435552477</v>
      </c>
      <c r="S51" s="41">
        <f t="shared" si="11"/>
        <v>18.050039255091807</v>
      </c>
      <c r="T51" s="40">
        <f t="shared" si="19"/>
        <v>1.655966904136863</v>
      </c>
      <c r="U51" s="40">
        <f t="shared" si="20"/>
        <v>0.70290521134783968</v>
      </c>
      <c r="V51" s="44">
        <f t="shared" si="21"/>
        <v>366.30661108071337</v>
      </c>
      <c r="W51" s="45">
        <f t="shared" si="23"/>
        <v>24.687212856179357</v>
      </c>
      <c r="X51" s="41">
        <f t="shared" si="24"/>
        <v>1.605432742535106</v>
      </c>
      <c r="Y51" s="45">
        <f t="shared" si="25"/>
        <v>673.87309718716426</v>
      </c>
      <c r="Z51" s="41">
        <f t="shared" si="26"/>
        <v>16.435929199686932</v>
      </c>
      <c r="AA51" s="41">
        <f t="shared" si="27"/>
        <v>0.60212714283364288</v>
      </c>
      <c r="AB51" s="39">
        <f>indtastning!F67/indtastning!E67</f>
        <v>2.2429906542056073</v>
      </c>
      <c r="AC51" s="40">
        <f t="shared" si="22"/>
        <v>2.5319800641481076</v>
      </c>
      <c r="AD51" s="40">
        <f t="shared" si="28"/>
        <v>57.603673787616763</v>
      </c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</row>
    <row r="52" spans="1:44" x14ac:dyDescent="0.25">
      <c r="A52" s="28">
        <v>41</v>
      </c>
      <c r="B52" s="41">
        <f t="shared" si="17"/>
        <v>21.655169654576376</v>
      </c>
      <c r="C52" s="41">
        <f>indtastning!E68</f>
        <v>1.07</v>
      </c>
      <c r="D52" s="40">
        <f t="shared" si="3"/>
        <v>0.94</v>
      </c>
      <c r="E52" s="40">
        <f t="shared" si="0"/>
        <v>0.96599999999999997</v>
      </c>
      <c r="F52" s="40">
        <f t="shared" si="4"/>
        <v>1</v>
      </c>
      <c r="G52" s="40">
        <f t="shared" si="5"/>
        <v>0.96599999999999997</v>
      </c>
      <c r="H52" s="50">
        <f t="shared" si="29"/>
        <v>1.199834621896239</v>
      </c>
      <c r="I52" s="39">
        <f>IF(indtastning!J$23&gt;4.9,5,IF(indtastning!J$23&lt;indtastning!G68,indtastning!J$23,indtastning!G68))</f>
        <v>1.5</v>
      </c>
      <c r="J52" s="41">
        <f t="shared" si="18"/>
        <v>1.199834621896239</v>
      </c>
      <c r="K52" s="40">
        <f t="shared" si="6"/>
        <v>1.6796647075257392</v>
      </c>
      <c r="L52" s="40">
        <f t="shared" si="31"/>
        <v>0.94089822999217332</v>
      </c>
      <c r="M52" s="40">
        <f t="shared" si="7"/>
        <v>1.5803935502912894</v>
      </c>
      <c r="N52" s="41">
        <f>indtastning!D68</f>
        <v>10.9</v>
      </c>
      <c r="O52" s="45">
        <f t="shared" si="8"/>
        <v>17.226289698175055</v>
      </c>
      <c r="P52" s="39">
        <f t="shared" si="9"/>
        <v>15.366451354296947</v>
      </c>
      <c r="Q52" s="48">
        <f t="shared" si="10"/>
        <v>13.366451354296947</v>
      </c>
      <c r="R52" s="39">
        <f t="shared" si="30"/>
        <v>20.265351154017871</v>
      </c>
      <c r="S52" s="41">
        <f t="shared" si="11"/>
        <v>18.146364912892057</v>
      </c>
      <c r="T52" s="40">
        <f t="shared" si="19"/>
        <v>1.6648041204488124</v>
      </c>
      <c r="U52" s="40">
        <f t="shared" si="20"/>
        <v>0.72070618228213967</v>
      </c>
      <c r="V52" s="44">
        <f t="shared" si="21"/>
        <v>374.51633303844818</v>
      </c>
      <c r="W52" s="45">
        <f t="shared" si="23"/>
        <v>25.887047478075598</v>
      </c>
      <c r="X52" s="41">
        <f t="shared" si="24"/>
        <v>1.6077460172393281</v>
      </c>
      <c r="Y52" s="45">
        <f t="shared" si="25"/>
        <v>692.01946210005633</v>
      </c>
      <c r="Z52" s="41">
        <f t="shared" si="26"/>
        <v>16.47665385952515</v>
      </c>
      <c r="AA52" s="41">
        <f t="shared" si="27"/>
        <v>0.61635827328751425</v>
      </c>
      <c r="AB52" s="39">
        <f>indtastning!F68/indtastning!E68</f>
        <v>2.2429906542056073</v>
      </c>
      <c r="AC52" s="40">
        <f t="shared" si="22"/>
        <v>2.6108136824015316</v>
      </c>
      <c r="AD52" s="40">
        <f t="shared" si="28"/>
        <v>60.214487470018298</v>
      </c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</row>
    <row r="53" spans="1:44" x14ac:dyDescent="0.25">
      <c r="A53" s="37">
        <v>42</v>
      </c>
      <c r="B53" s="39">
        <f t="shared" si="17"/>
        <v>22.375875836858516</v>
      </c>
      <c r="C53" s="39">
        <f>indtastning!E69</f>
        <v>1.07</v>
      </c>
      <c r="D53" s="40">
        <f t="shared" si="3"/>
        <v>0.94</v>
      </c>
      <c r="E53" s="40">
        <f t="shared" si="0"/>
        <v>0.96599999999999997</v>
      </c>
      <c r="F53" s="40">
        <f t="shared" si="4"/>
        <v>1</v>
      </c>
      <c r="G53" s="40">
        <f t="shared" si="5"/>
        <v>0.96599999999999997</v>
      </c>
      <c r="H53" s="50">
        <f t="shared" si="29"/>
        <v>1.2488620476289916</v>
      </c>
      <c r="I53" s="39">
        <f>IF(indtastning!J$23&gt;4.9,5,IF(indtastning!J$23&lt;indtastning!G69,indtastning!J$23,indtastning!G69))</f>
        <v>1.5</v>
      </c>
      <c r="J53" s="39">
        <f t="shared" si="18"/>
        <v>1.2488620476289916</v>
      </c>
      <c r="K53" s="42">
        <f t="shared" si="6"/>
        <v>1.6910091566912915</v>
      </c>
      <c r="L53" s="40">
        <f t="shared" si="31"/>
        <v>0.94191634648812883</v>
      </c>
      <c r="M53" s="42">
        <f t="shared" si="7"/>
        <v>1.5927891667486331</v>
      </c>
      <c r="N53" s="39">
        <f>indtastning!D69</f>
        <v>10.9</v>
      </c>
      <c r="O53" s="48">
        <f t="shared" si="8"/>
        <v>17.361401917560102</v>
      </c>
      <c r="P53" s="39">
        <f t="shared" si="9"/>
        <v>15.37272902834324</v>
      </c>
      <c r="Q53" s="48">
        <f t="shared" si="10"/>
        <v>13.37272902834324</v>
      </c>
      <c r="R53" s="39">
        <f t="shared" si="30"/>
        <v>20.273031456003284</v>
      </c>
      <c r="S53" s="41">
        <f t="shared" si="11"/>
        <v>18.245013876875678</v>
      </c>
      <c r="T53" s="42">
        <f t="shared" si="19"/>
        <v>1.6738544841170346</v>
      </c>
      <c r="U53" s="42">
        <f t="shared" si="20"/>
        <v>0.74609953223488934</v>
      </c>
      <c r="V53" s="51">
        <f t="shared" si="21"/>
        <v>382.75894849663126</v>
      </c>
      <c r="W53" s="48">
        <f t="shared" si="23"/>
        <v>27.135909525704591</v>
      </c>
      <c r="X53" s="39">
        <f t="shared" si="24"/>
        <v>1.6103040195621681</v>
      </c>
      <c r="Y53" s="48">
        <f t="shared" si="25"/>
        <v>710.26447597693198</v>
      </c>
      <c r="Z53" s="39">
        <f t="shared" si="26"/>
        <v>16.517778511091443</v>
      </c>
      <c r="AA53" s="39">
        <f t="shared" si="27"/>
        <v>0.63106766338847886</v>
      </c>
      <c r="AB53" s="39">
        <f>indtastning!F69/indtastning!E69</f>
        <v>2.2429906542056073</v>
      </c>
      <c r="AC53" s="40">
        <f t="shared" si="22"/>
        <v>2.6912178435055827</v>
      </c>
      <c r="AD53" s="40">
        <f t="shared" si="28"/>
        <v>62.905705313523882</v>
      </c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</row>
    <row r="54" spans="1:44" x14ac:dyDescent="0.25">
      <c r="A54" s="28">
        <v>43</v>
      </c>
      <c r="B54" s="41">
        <f t="shared" si="17"/>
        <v>23.121975369093406</v>
      </c>
      <c r="C54" s="41">
        <f>indtastning!E70</f>
        <v>1.07</v>
      </c>
      <c r="D54" s="40">
        <f t="shared" si="3"/>
        <v>0.94</v>
      </c>
      <c r="E54" s="40">
        <f t="shared" si="0"/>
        <v>0.96599999999999997</v>
      </c>
      <c r="F54" s="40">
        <f t="shared" si="4"/>
        <v>1</v>
      </c>
      <c r="G54" s="40">
        <f t="shared" si="5"/>
        <v>0.96599999999999997</v>
      </c>
      <c r="H54" s="50">
        <f t="shared" si="29"/>
        <v>1.2868377652295193</v>
      </c>
      <c r="I54" s="39">
        <f>IF(indtastning!J$23&gt;4.9,5,IF(indtastning!J$23&lt;indtastning!G70,indtastning!J$23,indtastning!G70))</f>
        <v>1.5</v>
      </c>
      <c r="J54" s="41">
        <f t="shared" si="18"/>
        <v>1.2868377652295193</v>
      </c>
      <c r="K54" s="40">
        <f t="shared" si="6"/>
        <v>1.7027533159949888</v>
      </c>
      <c r="L54" s="40">
        <f t="shared" si="31"/>
        <v>0.94294446277728616</v>
      </c>
      <c r="M54" s="40">
        <f t="shared" si="7"/>
        <v>1.6056018107931374</v>
      </c>
      <c r="N54" s="41">
        <f>indtastning!D70</f>
        <v>10.9</v>
      </c>
      <c r="O54" s="45">
        <f t="shared" si="8"/>
        <v>17.501059737645196</v>
      </c>
      <c r="P54" s="39">
        <f t="shared" si="9"/>
        <v>15.379143258915981</v>
      </c>
      <c r="Q54" s="48">
        <f t="shared" si="10"/>
        <v>13.379143258915981</v>
      </c>
      <c r="R54" s="39">
        <f t="shared" si="30"/>
        <v>20.280853151898722</v>
      </c>
      <c r="S54" s="41">
        <f t="shared" si="11"/>
        <v>18.346902472479474</v>
      </c>
      <c r="T54" s="40">
        <f t="shared" si="19"/>
        <v>1.6832020616953645</v>
      </c>
      <c r="U54" s="40">
        <f t="shared" si="20"/>
        <v>0.76451769785344914</v>
      </c>
      <c r="V54" s="44">
        <f t="shared" si="21"/>
        <v>391.20872951380011</v>
      </c>
      <c r="W54" s="45">
        <f t="shared" si="23"/>
        <v>28.422747290934112</v>
      </c>
      <c r="X54" s="41">
        <f t="shared" si="24"/>
        <v>1.6131226523824735</v>
      </c>
      <c r="Y54" s="45">
        <f t="shared" si="25"/>
        <v>728.6113784494114</v>
      </c>
      <c r="Z54" s="41">
        <f t="shared" si="26"/>
        <v>16.559349510213895</v>
      </c>
      <c r="AA54" s="41">
        <f t="shared" si="27"/>
        <v>0.6459715293394116</v>
      </c>
      <c r="AB54" s="39">
        <f>indtastning!F70/indtastning!E70</f>
        <v>2.2429906542056073</v>
      </c>
      <c r="AC54" s="40">
        <f t="shared" si="22"/>
        <v>2.801185901223906</v>
      </c>
      <c r="AD54" s="40">
        <f t="shared" si="28"/>
        <v>65.706891214747785</v>
      </c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</row>
    <row r="55" spans="1:44" x14ac:dyDescent="0.25">
      <c r="A55" s="28">
        <v>44</v>
      </c>
      <c r="B55" s="41">
        <f t="shared" si="17"/>
        <v>23.886493066946855</v>
      </c>
      <c r="C55" s="41">
        <f>indtastning!E71</f>
        <v>1.07</v>
      </c>
      <c r="D55" s="40">
        <f t="shared" si="3"/>
        <v>0.94</v>
      </c>
      <c r="E55" s="40">
        <f t="shared" si="0"/>
        <v>0.96599999999999997</v>
      </c>
      <c r="F55" s="40">
        <f t="shared" si="4"/>
        <v>1</v>
      </c>
      <c r="G55" s="40">
        <f t="shared" si="5"/>
        <v>0.96599999999999997</v>
      </c>
      <c r="H55" s="50">
        <f t="shared" si="29"/>
        <v>1.3255055109910037</v>
      </c>
      <c r="I55" s="39">
        <f>IF(indtastning!J$23&gt;4.9,5,IF(indtastning!J$23&lt;indtastning!G71,indtastning!J$23,indtastning!G71))</f>
        <v>1.5</v>
      </c>
      <c r="J55" s="41">
        <f t="shared" si="18"/>
        <v>1.3255055109910037</v>
      </c>
      <c r="K55" s="40">
        <f t="shared" si="6"/>
        <v>1.714787390868608</v>
      </c>
      <c r="L55" s="40">
        <f t="shared" si="31"/>
        <v>0.94398373775534739</v>
      </c>
      <c r="M55" s="40">
        <f t="shared" si="7"/>
        <v>1.6187314106878885</v>
      </c>
      <c r="N55" s="41">
        <f>indtastning!D71</f>
        <v>10.9</v>
      </c>
      <c r="O55" s="45">
        <f t="shared" si="8"/>
        <v>17.644172376497984</v>
      </c>
      <c r="P55" s="39">
        <f t="shared" si="9"/>
        <v>15.385630515535317</v>
      </c>
      <c r="Q55" s="48">
        <f t="shared" si="10"/>
        <v>13.385630515535317</v>
      </c>
      <c r="R55" s="39">
        <f t="shared" si="30"/>
        <v>20.288738100284263</v>
      </c>
      <c r="S55" s="41">
        <f t="shared" si="11"/>
        <v>18.45122606869861</v>
      </c>
      <c r="T55" s="40">
        <f t="shared" si="19"/>
        <v>1.6927730338255604</v>
      </c>
      <c r="U55" s="40">
        <f t="shared" si="20"/>
        <v>0.78303794100231183</v>
      </c>
      <c r="V55" s="44">
        <f t="shared" si="21"/>
        <v>399.69302424879214</v>
      </c>
      <c r="W55" s="45">
        <f t="shared" si="23"/>
        <v>29.748252801925116</v>
      </c>
      <c r="X55" s="41">
        <f t="shared" si="24"/>
        <v>1.6161691351844096</v>
      </c>
      <c r="Y55" s="45">
        <f t="shared" si="25"/>
        <v>747.06260451810999</v>
      </c>
      <c r="Z55" s="41">
        <f t="shared" si="26"/>
        <v>16.601391211513555</v>
      </c>
      <c r="AA55" s="41">
        <f t="shared" si="27"/>
        <v>0.66107228448722477</v>
      </c>
      <c r="AB55" s="39">
        <f>indtastning!F71/indtastning!E71</f>
        <v>2.2429906542056073</v>
      </c>
      <c r="AC55" s="40">
        <f t="shared" si="22"/>
        <v>2.8863650808886412</v>
      </c>
      <c r="AD55" s="40">
        <f t="shared" si="28"/>
        <v>68.593256295636422</v>
      </c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</row>
    <row r="56" spans="1:44" x14ac:dyDescent="0.25">
      <c r="A56" s="28">
        <v>45</v>
      </c>
      <c r="B56" s="41">
        <f t="shared" si="17"/>
        <v>24.669531007949168</v>
      </c>
      <c r="C56" s="41">
        <f>indtastning!E72</f>
        <v>1.07</v>
      </c>
      <c r="D56" s="40">
        <f t="shared" si="3"/>
        <v>0.94</v>
      </c>
      <c r="E56" s="40">
        <f t="shared" si="0"/>
        <v>0.96599999999999997</v>
      </c>
      <c r="F56" s="40">
        <f t="shared" si="4"/>
        <v>1</v>
      </c>
      <c r="G56" s="40">
        <f t="shared" si="5"/>
        <v>0.96599999999999997</v>
      </c>
      <c r="H56" s="50">
        <f t="shared" si="29"/>
        <v>1.3648524422481287</v>
      </c>
      <c r="I56" s="39">
        <f>IF(indtastning!J$23&gt;4.9,5,IF(indtastning!J$23&lt;indtastning!G72,indtastning!J$23,indtastning!G72))</f>
        <v>1.5</v>
      </c>
      <c r="J56" s="41">
        <f t="shared" si="18"/>
        <v>1.3648524422481287</v>
      </c>
      <c r="K56" s="40">
        <f t="shared" si="6"/>
        <v>1.7271129880880887</v>
      </c>
      <c r="L56" s="40">
        <f t="shared" si="31"/>
        <v>0.94503478028783894</v>
      </c>
      <c r="M56" s="40">
        <f t="shared" si="7"/>
        <v>1.6321818432300998</v>
      </c>
      <c r="N56" s="41">
        <f>indtastning!D72</f>
        <v>10.9</v>
      </c>
      <c r="O56" s="45">
        <f t="shared" si="8"/>
        <v>17.79078209120809</v>
      </c>
      <c r="P56" s="39">
        <f t="shared" si="9"/>
        <v>15.392189390531694</v>
      </c>
      <c r="Q56" s="48">
        <f t="shared" si="10"/>
        <v>13.392189390531694</v>
      </c>
      <c r="R56" s="39">
        <f t="shared" si="30"/>
        <v>20.296684316321233</v>
      </c>
      <c r="S56" s="41">
        <f t="shared" si="11"/>
        <v>18.5580126408016</v>
      </c>
      <c r="T56" s="40">
        <f t="shared" si="19"/>
        <v>1.7025699670460184</v>
      </c>
      <c r="U56" s="40">
        <f t="shared" si="20"/>
        <v>0.8016424984966497</v>
      </c>
      <c r="V56" s="44">
        <f t="shared" si="21"/>
        <v>408.21180017664813</v>
      </c>
      <c r="W56" s="45">
        <f t="shared" si="23"/>
        <v>31.113105244173244</v>
      </c>
      <c r="X56" s="41">
        <f t="shared" si="24"/>
        <v>1.619434529332946</v>
      </c>
      <c r="Y56" s="45">
        <f t="shared" si="25"/>
        <v>765.62061715891161</v>
      </c>
      <c r="Z56" s="41">
        <f t="shared" si="26"/>
        <v>16.643926459976338</v>
      </c>
      <c r="AA56" s="41">
        <f t="shared" si="27"/>
        <v>0.67637185313420101</v>
      </c>
      <c r="AB56" s="39">
        <f>indtastning!F72/indtastning!E72</f>
        <v>2.2429906542056073</v>
      </c>
      <c r="AC56" s="40">
        <f t="shared" si="22"/>
        <v>2.9730964732508491</v>
      </c>
      <c r="AD56" s="40">
        <f t="shared" si="28"/>
        <v>71.56635276888727</v>
      </c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</row>
    <row r="57" spans="1:44" x14ac:dyDescent="0.25">
      <c r="A57" s="28">
        <v>46</v>
      </c>
      <c r="B57" s="41">
        <f t="shared" si="17"/>
        <v>25.471173506445819</v>
      </c>
      <c r="C57" s="41">
        <f>indtastning!E73</f>
        <v>1.07</v>
      </c>
      <c r="D57" s="40">
        <f t="shared" si="3"/>
        <v>0.94</v>
      </c>
      <c r="E57" s="40">
        <f t="shared" si="0"/>
        <v>0.96599999999999997</v>
      </c>
      <c r="F57" s="40">
        <f t="shared" si="4"/>
        <v>1</v>
      </c>
      <c r="G57" s="40">
        <f t="shared" si="5"/>
        <v>0.96599999999999997</v>
      </c>
      <c r="H57" s="50">
        <f t="shared" si="29"/>
        <v>1.4048642611029789</v>
      </c>
      <c r="I57" s="39">
        <f>IF(indtastning!J$23&gt;4.9,5,IF(indtastning!J$23&lt;indtastning!G73,indtastning!J$23,indtastning!G73))</f>
        <v>1.5</v>
      </c>
      <c r="J57" s="41">
        <f t="shared" si="18"/>
        <v>1.4048642611029789</v>
      </c>
      <c r="K57" s="40">
        <f t="shared" si="6"/>
        <v>1.7397314348236841</v>
      </c>
      <c r="L57" s="40">
        <f t="shared" si="31"/>
        <v>0.94609816149940851</v>
      </c>
      <c r="M57" s="40">
        <f t="shared" si="7"/>
        <v>1.6459567119894156</v>
      </c>
      <c r="N57" s="41">
        <f>indtastning!D73</f>
        <v>10.9</v>
      </c>
      <c r="O57" s="45">
        <f t="shared" si="8"/>
        <v>17.940928160684631</v>
      </c>
      <c r="P57" s="39">
        <f t="shared" si="9"/>
        <v>15.398818392914917</v>
      </c>
      <c r="Q57" s="48">
        <f t="shared" si="10"/>
        <v>13.398818392914917</v>
      </c>
      <c r="R57" s="39">
        <f t="shared" si="30"/>
        <v>20.304689741390153</v>
      </c>
      <c r="S57" s="41">
        <f t="shared" si="11"/>
        <v>18.667288052171802</v>
      </c>
      <c r="T57" s="40">
        <f t="shared" si="19"/>
        <v>1.7125952341442019</v>
      </c>
      <c r="U57" s="40">
        <f t="shared" si="20"/>
        <v>0.82031307403760312</v>
      </c>
      <c r="V57" s="44">
        <f t="shared" si="21"/>
        <v>416.76464144447431</v>
      </c>
      <c r="W57" s="45">
        <f t="shared" si="23"/>
        <v>32.51796950527622</v>
      </c>
      <c r="X57" s="40">
        <f t="shared" si="24"/>
        <v>1.622910837133275</v>
      </c>
      <c r="Y57" s="45">
        <f t="shared" si="25"/>
        <v>784.2879052110834</v>
      </c>
      <c r="Z57" s="41">
        <f t="shared" si="26"/>
        <v>16.686976706618797</v>
      </c>
      <c r="AA57" s="40">
        <f t="shared" si="27"/>
        <v>0.69187169160162165</v>
      </c>
      <c r="AB57" s="39">
        <f>indtastning!F73/indtastning!E73</f>
        <v>2.2429906542056073</v>
      </c>
      <c r="AC57" s="40">
        <f t="shared" si="22"/>
        <v>3.0613512723322511</v>
      </c>
      <c r="AD57" s="40">
        <f t="shared" si="28"/>
        <v>74.627704041219516</v>
      </c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</row>
    <row r="58" spans="1:44" x14ac:dyDescent="0.25">
      <c r="A58" s="28">
        <v>47</v>
      </c>
      <c r="B58" s="41">
        <f t="shared" si="17"/>
        <v>26.291486580483422</v>
      </c>
      <c r="C58" s="41">
        <f>indtastning!E74</f>
        <v>1.07</v>
      </c>
      <c r="D58" s="40">
        <f t="shared" si="3"/>
        <v>0.94</v>
      </c>
      <c r="E58" s="40">
        <f t="shared" si="0"/>
        <v>0.96599999999999997</v>
      </c>
      <c r="F58" s="40">
        <f t="shared" si="4"/>
        <v>1</v>
      </c>
      <c r="G58" s="40">
        <f t="shared" si="5"/>
        <v>0.96599999999999997</v>
      </c>
      <c r="H58" s="50">
        <f t="shared" si="29"/>
        <v>1.4455252110037091</v>
      </c>
      <c r="I58" s="39">
        <f>IF(indtastning!J$23&gt;4.9,5,IF(indtastning!J$23&lt;indtastning!G74,indtastning!J$23,indtastning!G74))</f>
        <v>1.5</v>
      </c>
      <c r="J58" s="41">
        <f t="shared" si="18"/>
        <v>1.4455252110037091</v>
      </c>
      <c r="K58" s="40">
        <f t="shared" si="6"/>
        <v>1.7526437702483502</v>
      </c>
      <c r="L58" s="40">
        <f t="shared" si="31"/>
        <v>0.94717441766546995</v>
      </c>
      <c r="M58" s="40">
        <f t="shared" si="7"/>
        <v>1.6600593424599948</v>
      </c>
      <c r="N58" s="41">
        <f>indtastning!D74</f>
        <v>10.9</v>
      </c>
      <c r="O58" s="45">
        <f t="shared" si="8"/>
        <v>18.094646832813943</v>
      </c>
      <c r="P58" s="39">
        <f t="shared" si="9"/>
        <v>15.405515950133532</v>
      </c>
      <c r="Q58" s="48">
        <f t="shared" si="10"/>
        <v>13.405515950133532</v>
      </c>
      <c r="R58" s="39">
        <f t="shared" si="30"/>
        <v>20.312752246026125</v>
      </c>
      <c r="S58" s="41">
        <f t="shared" si="11"/>
        <v>18.779076020945428</v>
      </c>
      <c r="T58" s="40">
        <f t="shared" si="19"/>
        <v>1.7228510110959108</v>
      </c>
      <c r="U58" s="40">
        <f t="shared" si="20"/>
        <v>0.83903088641669954</v>
      </c>
      <c r="V58" s="44">
        <f>(B58-$B$11)/(A58-$A$11)*1000</f>
        <v>425.35077830815794</v>
      </c>
      <c r="W58" s="45">
        <f t="shared" si="23"/>
        <v>33.963494716279932</v>
      </c>
      <c r="X58" s="40">
        <f t="shared" si="24"/>
        <v>1.6265908677857759</v>
      </c>
      <c r="Y58" s="45">
        <f t="shared" si="25"/>
        <v>803.06698123202887</v>
      </c>
      <c r="Z58" s="41">
        <f t="shared" si="26"/>
        <v>16.730562109000601</v>
      </c>
      <c r="AA58" s="40">
        <f t="shared" si="27"/>
        <v>0.70757280658916522</v>
      </c>
      <c r="AB58" s="39">
        <f>indtastning!F74/indtastning!E74</f>
        <v>2.2429906542056073</v>
      </c>
      <c r="AC58" s="40">
        <f t="shared" si="22"/>
        <v>3.1510974080814478</v>
      </c>
      <c r="AD58" s="40">
        <f t="shared" si="28"/>
        <v>77.778801449300971</v>
      </c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</row>
    <row r="59" spans="1:44" x14ac:dyDescent="0.25">
      <c r="A59" s="28">
        <v>48</v>
      </c>
      <c r="B59" s="41">
        <f t="shared" si="17"/>
        <v>27.130517466900123</v>
      </c>
      <c r="C59" s="41">
        <f>indtastning!E75</f>
        <v>1.07</v>
      </c>
      <c r="D59" s="40">
        <f t="shared" si="3"/>
        <v>0.94</v>
      </c>
      <c r="E59" s="40">
        <f t="shared" si="0"/>
        <v>0.96599999999999997</v>
      </c>
      <c r="F59" s="40">
        <f t="shared" si="4"/>
        <v>1</v>
      </c>
      <c r="G59" s="40">
        <f t="shared" si="5"/>
        <v>0.96599999999999997</v>
      </c>
      <c r="H59" s="50">
        <f t="shared" si="29"/>
        <v>1.4868180789095131</v>
      </c>
      <c r="I59" s="39">
        <f>IF(indtastning!J$23&gt;4.9,5,IF(indtastning!J$23&lt;indtastning!G75,indtastning!J$23,indtastning!G75))</f>
        <v>1.5</v>
      </c>
      <c r="J59" s="41">
        <f t="shared" si="18"/>
        <v>1.4868180789095131</v>
      </c>
      <c r="K59" s="40">
        <f t="shared" si="6"/>
        <v>1.7658507379049093</v>
      </c>
      <c r="L59" s="40">
        <f t="shared" si="31"/>
        <v>0.94826405272501513</v>
      </c>
      <c r="M59" s="40">
        <f t="shared" si="7"/>
        <v>1.6744927772331677</v>
      </c>
      <c r="N59" s="41">
        <f>indtastning!D75</f>
        <v>10.9</v>
      </c>
      <c r="O59" s="45">
        <f t="shared" si="8"/>
        <v>18.25197127184153</v>
      </c>
      <c r="P59" s="39">
        <f t="shared" si="9"/>
        <v>15.412280410093109</v>
      </c>
      <c r="Q59" s="48">
        <f t="shared" si="10"/>
        <v>13.412280410093109</v>
      </c>
      <c r="R59" s="39">
        <f t="shared" si="30"/>
        <v>20.320869633083944</v>
      </c>
      <c r="S59" s="41">
        <f t="shared" si="11"/>
        <v>18.893398086873784</v>
      </c>
      <c r="T59" s="40">
        <f t="shared" si="19"/>
        <v>1.7333392740251177</v>
      </c>
      <c r="U59" s="40">
        <f t="shared" si="20"/>
        <v>0.85777672103215019</v>
      </c>
      <c r="V59" s="44">
        <f t="shared" si="21"/>
        <v>433.96911389375254</v>
      </c>
      <c r="W59" s="45">
        <f t="shared" si="23"/>
        <v>35.450312795189447</v>
      </c>
      <c r="X59" s="41">
        <f t="shared" si="24"/>
        <v>1.6304681230434255</v>
      </c>
      <c r="Y59" s="45">
        <f t="shared" si="25"/>
        <v>821.9603793189026</v>
      </c>
      <c r="Z59" s="41">
        <f t="shared" si="26"/>
        <v>16.774701618753113</v>
      </c>
      <c r="AA59" s="40">
        <f t="shared" si="27"/>
        <v>0.72347577133039687</v>
      </c>
      <c r="AB59" s="39">
        <f>indtastning!F75/indtastning!E75</f>
        <v>2.2429906542056073</v>
      </c>
      <c r="AC59" s="40">
        <f t="shared" si="22"/>
        <v>3.2422995386999078</v>
      </c>
      <c r="AD59" s="40">
        <f t="shared" si="28"/>
        <v>81.021100988000882</v>
      </c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</row>
    <row r="60" spans="1:44" x14ac:dyDescent="0.25">
      <c r="A60" s="37">
        <v>49</v>
      </c>
      <c r="B60" s="39">
        <f t="shared" si="17"/>
        <v>27.988294187932272</v>
      </c>
      <c r="C60" s="39">
        <f>indtastning!E76</f>
        <v>1.07</v>
      </c>
      <c r="D60" s="40">
        <f t="shared" si="3"/>
        <v>0.94</v>
      </c>
      <c r="E60" s="40">
        <f t="shared" si="0"/>
        <v>0.96599999999999997</v>
      </c>
      <c r="F60" s="40">
        <f t="shared" si="4"/>
        <v>1</v>
      </c>
      <c r="G60" s="40">
        <f t="shared" si="5"/>
        <v>0.96599999999999997</v>
      </c>
      <c r="H60" s="50">
        <f t="shared" si="29"/>
        <v>1.5287242031868618</v>
      </c>
      <c r="I60" s="39">
        <f>IF(indtastning!J$23&gt;4.9,5,IF(indtastning!J$23&lt;indtastning!G76,indtastning!J$23,indtastning!G76))</f>
        <v>1.5</v>
      </c>
      <c r="J60" s="39">
        <f t="shared" si="18"/>
        <v>1.5</v>
      </c>
      <c r="K60" s="42">
        <f t="shared" si="6"/>
        <v>1.7793527788841192</v>
      </c>
      <c r="L60" s="40">
        <f t="shared" si="31"/>
        <v>0.94936754046882788</v>
      </c>
      <c r="M60" s="42">
        <f t="shared" si="7"/>
        <v>1.6892597713155904</v>
      </c>
      <c r="N60" s="39">
        <f>indtastning!D76</f>
        <v>10.9</v>
      </c>
      <c r="O60" s="48">
        <f t="shared" si="8"/>
        <v>18.412931507339934</v>
      </c>
      <c r="P60" s="39">
        <f t="shared" si="9"/>
        <v>15.419110043428564</v>
      </c>
      <c r="Q60" s="48">
        <f t="shared" si="10"/>
        <v>13.419110043428564</v>
      </c>
      <c r="R60" s="39">
        <f t="shared" si="30"/>
        <v>20.329039641122783</v>
      </c>
      <c r="S60" s="41">
        <f t="shared" si="11"/>
        <v>19.010273579351487</v>
      </c>
      <c r="T60" s="42">
        <f t="shared" si="19"/>
        <v>1.7440617962707785</v>
      </c>
      <c r="U60" s="42">
        <f t="shared" si="20"/>
        <v>0.86006126801662586</v>
      </c>
      <c r="V60" s="51">
        <f t="shared" si="21"/>
        <v>442.6182487333117</v>
      </c>
      <c r="W60" s="48">
        <f t="shared" si="23"/>
        <v>36.950312795189447</v>
      </c>
      <c r="X60" s="39">
        <f t="shared" si="24"/>
        <v>1.6345366992907442</v>
      </c>
      <c r="Y60" s="48">
        <f t="shared" si="25"/>
        <v>840.97065289825412</v>
      </c>
      <c r="Z60" s="39">
        <f t="shared" si="26"/>
        <v>16.819413057965082</v>
      </c>
      <c r="AA60" s="42">
        <f t="shared" si="27"/>
        <v>0.73900625590378899</v>
      </c>
      <c r="AB60" s="39">
        <f>indtastning!F76/indtastning!E76</f>
        <v>2.2429906542056073</v>
      </c>
      <c r="AC60" s="40">
        <f t="shared" si="22"/>
        <v>3.3349190554979731</v>
      </c>
      <c r="AD60" s="40">
        <f t="shared" si="28"/>
        <v>84.356020043498859</v>
      </c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</row>
    <row r="61" spans="1:44" x14ac:dyDescent="0.25">
      <c r="A61" s="28">
        <v>50</v>
      </c>
      <c r="B61" s="41">
        <f t="shared" si="17"/>
        <v>28.848355455948898</v>
      </c>
      <c r="C61" s="41">
        <f>indtastning!E77</f>
        <v>1.07</v>
      </c>
      <c r="D61" s="40">
        <f t="shared" si="3"/>
        <v>0.94</v>
      </c>
      <c r="E61" s="40">
        <f t="shared" si="0"/>
        <v>0.96599999999999997</v>
      </c>
      <c r="F61" s="40">
        <f t="shared" si="4"/>
        <v>1</v>
      </c>
      <c r="G61" s="40">
        <f t="shared" si="5"/>
        <v>0.96599999999999997</v>
      </c>
      <c r="H61" s="50">
        <f t="shared" si="29"/>
        <v>1.5704279507157888</v>
      </c>
      <c r="I61" s="39">
        <f>IF(indtastning!J$23&gt;4.9,5,IF(indtastning!J$23&lt;indtastning!G77,indtastning!J$23,indtastning!G77))</f>
        <v>1.5</v>
      </c>
      <c r="J61" s="41">
        <f t="shared" si="18"/>
        <v>1.5</v>
      </c>
      <c r="K61" s="40">
        <f t="shared" si="6"/>
        <v>1.7928907803251215</v>
      </c>
      <c r="L61" s="40">
        <f t="shared" si="31"/>
        <v>0.95048532644912709</v>
      </c>
      <c r="M61" s="40">
        <f t="shared" si="7"/>
        <v>1.7041163786249534</v>
      </c>
      <c r="N61" s="41">
        <f>indtastning!D77</f>
        <v>10.9</v>
      </c>
      <c r="O61" s="45">
        <f t="shared" si="8"/>
        <v>18.574868527011994</v>
      </c>
      <c r="P61" s="39">
        <f t="shared" si="9"/>
        <v>15.42587430724838</v>
      </c>
      <c r="Q61" s="48">
        <f t="shared" si="10"/>
        <v>13.42587430724838</v>
      </c>
      <c r="R61" s="39">
        <f t="shared" si="30"/>
        <v>20.337106651010291</v>
      </c>
      <c r="S61" s="41">
        <f t="shared" si="11"/>
        <v>19.12776319696804</v>
      </c>
      <c r="T61" s="40">
        <f t="shared" si="19"/>
        <v>1.7548406602722972</v>
      </c>
      <c r="U61" s="40">
        <f t="shared" si="20"/>
        <v>0.85477846163380222</v>
      </c>
      <c r="V61" s="44">
        <f t="shared" si="21"/>
        <v>450.96710911897799</v>
      </c>
      <c r="W61" s="45">
        <f t="shared" si="23"/>
        <v>38.450312795189447</v>
      </c>
      <c r="X61" s="41">
        <f t="shared" si="24"/>
        <v>1.6387143118874732</v>
      </c>
      <c r="Y61" s="45">
        <f t="shared" si="25"/>
        <v>860.09841609522221</v>
      </c>
      <c r="Z61" s="41">
        <f t="shared" si="26"/>
        <v>16.864674825396513</v>
      </c>
      <c r="AA61" s="41">
        <f t="shared" si="27"/>
        <v>0.75392770186645974</v>
      </c>
      <c r="AB61" s="39">
        <f>indtastning!F77/indtastning!E77</f>
        <v>2.2429906542056073</v>
      </c>
      <c r="AC61" s="40">
        <f t="shared" si="22"/>
        <v>3.3644859813084107</v>
      </c>
      <c r="AD61" s="40">
        <f t="shared" si="28"/>
        <v>87.720506024807264</v>
      </c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</row>
    <row r="62" spans="1:44" x14ac:dyDescent="0.25">
      <c r="A62" s="28">
        <v>51</v>
      </c>
      <c r="B62" s="41">
        <f t="shared" si="17"/>
        <v>29.703133917582701</v>
      </c>
      <c r="C62" s="41">
        <f>indtastning!E78</f>
        <v>1.07</v>
      </c>
      <c r="D62" s="40">
        <f t="shared" si="3"/>
        <v>0.94</v>
      </c>
      <c r="E62" s="40">
        <f t="shared" si="0"/>
        <v>0.96599999999999997</v>
      </c>
      <c r="F62" s="40">
        <f t="shared" si="4"/>
        <v>1</v>
      </c>
      <c r="G62" s="40">
        <f t="shared" si="5"/>
        <v>0.96599999999999997</v>
      </c>
      <c r="H62" s="50">
        <f t="shared" si="29"/>
        <v>1.6115640252618986</v>
      </c>
      <c r="I62" s="39">
        <f>IF(indtastning!J$23&gt;4.9,5,IF(indtastning!J$23&lt;indtastning!G78,indtastning!J$23,indtastning!G78))</f>
        <v>1.5</v>
      </c>
      <c r="J62" s="41">
        <f t="shared" si="18"/>
        <v>1.5</v>
      </c>
      <c r="K62" s="40">
        <f t="shared" si="6"/>
        <v>1.8063456264804685</v>
      </c>
      <c r="L62" s="40">
        <f t="shared" si="31"/>
        <v>0.95161687063491285</v>
      </c>
      <c r="M62" s="40">
        <f t="shared" si="7"/>
        <v>1.7189489723564046</v>
      </c>
      <c r="N62" s="41">
        <f>indtastning!D78</f>
        <v>10.9</v>
      </c>
      <c r="O62" s="45">
        <f t="shared" si="8"/>
        <v>18.73654379868481</v>
      </c>
      <c r="P62" s="39">
        <f t="shared" si="9"/>
        <v>15.432517552475899</v>
      </c>
      <c r="Q62" s="48">
        <f t="shared" si="10"/>
        <v>13.432517552475899</v>
      </c>
      <c r="R62" s="39">
        <f t="shared" si="30"/>
        <v>20.345005815726608</v>
      </c>
      <c r="S62" s="41">
        <f t="shared" si="11"/>
        <v>19.244968394878359</v>
      </c>
      <c r="T62" s="40">
        <f t="shared" si="19"/>
        <v>1.7655934307227852</v>
      </c>
      <c r="U62" s="40">
        <f t="shared" si="20"/>
        <v>0.84957271243694055</v>
      </c>
      <c r="V62" s="44">
        <f t="shared" si="21"/>
        <v>458.88497877613139</v>
      </c>
      <c r="W62" s="45">
        <f t="shared" si="23"/>
        <v>39.950312795189447</v>
      </c>
      <c r="X62" s="40">
        <f t="shared" si="24"/>
        <v>1.64295572253688</v>
      </c>
      <c r="Y62" s="45">
        <f t="shared" si="25"/>
        <v>879.34338449010056</v>
      </c>
      <c r="Z62" s="41">
        <f t="shared" si="26"/>
        <v>16.910449701732702</v>
      </c>
      <c r="AA62" s="41">
        <f t="shared" si="27"/>
        <v>0.76827524606133557</v>
      </c>
      <c r="AB62" s="39">
        <f>indtastning!F78/indtastning!E78</f>
        <v>2.2429906542056073</v>
      </c>
      <c r="AC62" s="40">
        <f t="shared" si="22"/>
        <v>3.3644859813084107</v>
      </c>
      <c r="AD62" s="40">
        <f t="shared" si="28"/>
        <v>91.084992006115669</v>
      </c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</row>
    <row r="63" spans="1:44" x14ac:dyDescent="0.25">
      <c r="A63" s="28">
        <v>52</v>
      </c>
      <c r="B63" s="41">
        <f t="shared" si="17"/>
        <v>30.552706630019642</v>
      </c>
      <c r="C63" s="41">
        <f>indtastning!E79</f>
        <v>1.05</v>
      </c>
      <c r="D63" s="40">
        <f t="shared" si="3"/>
        <v>0.92</v>
      </c>
      <c r="E63" s="40">
        <f t="shared" si="0"/>
        <v>0.95</v>
      </c>
      <c r="F63" s="40">
        <f t="shared" si="4"/>
        <v>0.99399999999999999</v>
      </c>
      <c r="G63" s="40">
        <f t="shared" si="5"/>
        <v>0.95</v>
      </c>
      <c r="H63" s="50">
        <f t="shared" si="29"/>
        <v>1.6247771829913304</v>
      </c>
      <c r="I63" s="39">
        <f>IF(indtastning!J$23&gt;4.9,5,IF(indtastning!J$23&lt;indtastning!G79,indtastning!J$23,indtastning!G79))</f>
        <v>1.5</v>
      </c>
      <c r="J63" s="41">
        <f t="shared" si="18"/>
        <v>1.5</v>
      </c>
      <c r="K63" s="40">
        <f t="shared" si="6"/>
        <v>1.8197185302873462</v>
      </c>
      <c r="L63" s="40">
        <f t="shared" si="31"/>
        <v>0.95276124254331762</v>
      </c>
      <c r="M63" s="40">
        <f t="shared" si="7"/>
        <v>1.7337572879956717</v>
      </c>
      <c r="N63" s="41">
        <f>indtastning!D79</f>
        <v>7.7</v>
      </c>
      <c r="O63" s="45">
        <f t="shared" si="8"/>
        <v>13.349931117566673</v>
      </c>
      <c r="P63" s="39">
        <f t="shared" si="9"/>
        <v>15.439044982227882</v>
      </c>
      <c r="Q63" s="48">
        <f t="shared" si="10"/>
        <v>13.439044982227882</v>
      </c>
      <c r="R63" s="39">
        <f t="shared" si="30"/>
        <v>20.352745028290801</v>
      </c>
      <c r="S63" s="41">
        <f t="shared" si="11"/>
        <v>15.439044982227882</v>
      </c>
      <c r="T63" s="40">
        <f t="shared" si="19"/>
        <v>2.0050707769127118</v>
      </c>
      <c r="U63" s="40">
        <f t="shared" si="20"/>
        <v>0.74810326761113655</v>
      </c>
      <c r="V63" s="44">
        <f t="shared" si="21"/>
        <v>466.39820442345462</v>
      </c>
      <c r="W63" s="45">
        <f t="shared" si="23"/>
        <v>41.450312795189447</v>
      </c>
      <c r="X63" s="40">
        <f t="shared" si="24"/>
        <v>1.6472517234731872</v>
      </c>
      <c r="Y63" s="45">
        <f t="shared" si="25"/>
        <v>894.78242947232843</v>
      </c>
      <c r="Z63" s="41">
        <f t="shared" si="26"/>
        <v>16.8826873485345</v>
      </c>
      <c r="AA63" s="41">
        <f t="shared" si="27"/>
        <v>0.78208137349414053</v>
      </c>
      <c r="AB63" s="39">
        <f>indtastning!F79/indtastning!E79</f>
        <v>1.8095238095238093</v>
      </c>
      <c r="AC63" s="40">
        <f t="shared" si="22"/>
        <v>3.3644859813084107</v>
      </c>
      <c r="AD63" s="40">
        <f t="shared" si="28"/>
        <v>94.449477987424075</v>
      </c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</row>
    <row r="64" spans="1:44" x14ac:dyDescent="0.25">
      <c r="A64" s="28">
        <v>53</v>
      </c>
      <c r="B64" s="41">
        <f t="shared" si="17"/>
        <v>31.300809897630778</v>
      </c>
      <c r="C64" s="41">
        <f>indtastning!E80</f>
        <v>1.05</v>
      </c>
      <c r="D64" s="40">
        <f t="shared" si="3"/>
        <v>0.92</v>
      </c>
      <c r="E64" s="40">
        <f t="shared" si="0"/>
        <v>0.95</v>
      </c>
      <c r="F64" s="40">
        <f t="shared" si="4"/>
        <v>0.99399999999999999</v>
      </c>
      <c r="G64" s="40">
        <f t="shared" si="5"/>
        <v>0.95</v>
      </c>
      <c r="H64" s="50">
        <f t="shared" si="29"/>
        <v>1.6596669352006246</v>
      </c>
      <c r="I64" s="39">
        <f>IF(indtastning!J$23&gt;4.9,5,IF(indtastning!J$23&lt;indtastning!G80,indtastning!J$23,indtastning!G80))</f>
        <v>1.5</v>
      </c>
      <c r="J64" s="41">
        <f t="shared" si="18"/>
        <v>1.5</v>
      </c>
      <c r="K64" s="40">
        <f t="shared" si="6"/>
        <v>1.8314942298701142</v>
      </c>
      <c r="L64" s="40">
        <f t="shared" si="31"/>
        <v>0.95206718371336252</v>
      </c>
      <c r="M64" s="40">
        <f t="shared" si="7"/>
        <v>1.7437055534197134</v>
      </c>
      <c r="N64" s="41">
        <f>indtastning!D80</f>
        <v>7.7</v>
      </c>
      <c r="O64" s="45">
        <f t="shared" si="8"/>
        <v>13.426532761331794</v>
      </c>
      <c r="P64" s="39">
        <f t="shared" si="9"/>
        <v>15.444732921831781</v>
      </c>
      <c r="Q64" s="48">
        <f t="shared" si="10"/>
        <v>13.444732921831781</v>
      </c>
      <c r="R64" s="39">
        <f t="shared" si="30"/>
        <v>20.359471267337572</v>
      </c>
      <c r="S64" s="41">
        <f t="shared" si="11"/>
        <v>15.444732921831781</v>
      </c>
      <c r="T64" s="40">
        <f t="shared" si="19"/>
        <v>2.0058094703677636</v>
      </c>
      <c r="U64" s="40">
        <f t="shared" si="20"/>
        <v>0.74782775839869586</v>
      </c>
      <c r="V64" s="44">
        <f t="shared" si="21"/>
        <v>471.71339429492031</v>
      </c>
      <c r="W64" s="45">
        <f t="shared" si="23"/>
        <v>42.950312795189447</v>
      </c>
      <c r="X64" s="41">
        <f t="shared" si="24"/>
        <v>1.6579588007313923</v>
      </c>
      <c r="Y64" s="45">
        <f t="shared" si="25"/>
        <v>910.22716239416025</v>
      </c>
      <c r="Z64" s="41">
        <f t="shared" si="26"/>
        <v>16.85605856285482</v>
      </c>
      <c r="AA64" s="41">
        <f t="shared" si="27"/>
        <v>0.79537616287387869</v>
      </c>
      <c r="AB64" s="39">
        <f>indtastning!F80/indtastning!E80</f>
        <v>1.8095238095238093</v>
      </c>
      <c r="AC64" s="40">
        <f t="shared" si="22"/>
        <v>2.714285714285714</v>
      </c>
      <c r="AD64" s="40">
        <f t="shared" si="28"/>
        <v>97.163763701709783</v>
      </c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</row>
    <row r="65" spans="1:44" x14ac:dyDescent="0.25">
      <c r="A65" s="28">
        <v>54</v>
      </c>
      <c r="B65" s="41">
        <f t="shared" si="17"/>
        <v>32.04863765602947</v>
      </c>
      <c r="C65" s="41">
        <f>indtastning!E81</f>
        <v>1.05</v>
      </c>
      <c r="D65" s="40">
        <f t="shared" si="3"/>
        <v>0.92</v>
      </c>
      <c r="E65" s="40">
        <f t="shared" si="0"/>
        <v>0.95</v>
      </c>
      <c r="F65" s="40">
        <f t="shared" si="4"/>
        <v>0.99399999999999999</v>
      </c>
      <c r="G65" s="40">
        <f t="shared" si="5"/>
        <v>0.95</v>
      </c>
      <c r="H65" s="50">
        <f t="shared" si="29"/>
        <v>1.6943100302794343</v>
      </c>
      <c r="I65" s="39">
        <f>IF(indtastning!J$23&gt;4.9,5,IF(indtastning!J$23&lt;indtastning!G81,indtastning!J$23,indtastning!G81))</f>
        <v>1.5</v>
      </c>
      <c r="J65" s="41">
        <f t="shared" si="18"/>
        <v>1.5</v>
      </c>
      <c r="K65" s="40">
        <f t="shared" si="6"/>
        <v>1.8432655927337973</v>
      </c>
      <c r="L65" s="40">
        <f t="shared" si="31"/>
        <v>0.9514014640713705</v>
      </c>
      <c r="M65" s="40">
        <f t="shared" si="7"/>
        <v>1.7536855835993173</v>
      </c>
      <c r="N65" s="41">
        <f>indtastning!D81</f>
        <v>7.7</v>
      </c>
      <c r="O65" s="45">
        <f t="shared" si="8"/>
        <v>13.503378993714744</v>
      </c>
      <c r="P65" s="39">
        <f t="shared" si="9"/>
        <v>15.450364671610291</v>
      </c>
      <c r="Q65" s="48">
        <f t="shared" si="10"/>
        <v>13.450364671610291</v>
      </c>
      <c r="R65" s="39">
        <f t="shared" si="30"/>
        <v>20.366115161924053</v>
      </c>
      <c r="S65" s="41">
        <f t="shared" si="11"/>
        <v>15.56405231155507</v>
      </c>
      <c r="T65" s="40">
        <f t="shared" si="19"/>
        <v>2.0213054950071521</v>
      </c>
      <c r="U65" s="40">
        <f t="shared" si="20"/>
        <v>0.74209465303743827</v>
      </c>
      <c r="V65" s="44">
        <f t="shared" si="21"/>
        <v>476.82662325980499</v>
      </c>
      <c r="W65" s="45">
        <f t="shared" si="23"/>
        <v>44.450312795189447</v>
      </c>
      <c r="X65" s="41">
        <f t="shared" si="24"/>
        <v>1.6680615638370258</v>
      </c>
      <c r="Y65" s="45">
        <f t="shared" si="25"/>
        <v>925.79121470571533</v>
      </c>
      <c r="Z65" s="41">
        <f t="shared" si="26"/>
        <v>16.832567540103916</v>
      </c>
      <c r="AA65" s="41">
        <f t="shared" si="27"/>
        <v>0.80818750536708084</v>
      </c>
      <c r="AB65" s="39">
        <f>indtastning!F81/indtastning!E81</f>
        <v>1.8095238095238093</v>
      </c>
      <c r="AC65" s="40">
        <f t="shared" si="22"/>
        <v>2.714285714285714</v>
      </c>
      <c r="AD65" s="40">
        <f t="shared" si="28"/>
        <v>99.878049415995491</v>
      </c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</row>
    <row r="66" spans="1:44" x14ac:dyDescent="0.25">
      <c r="A66" s="28">
        <v>55</v>
      </c>
      <c r="B66" s="41">
        <f t="shared" si="17"/>
        <v>32.790732309066911</v>
      </c>
      <c r="C66" s="41">
        <f>indtastning!E82</f>
        <v>1.05</v>
      </c>
      <c r="D66" s="40">
        <f t="shared" si="3"/>
        <v>0.92</v>
      </c>
      <c r="E66" s="40">
        <f t="shared" si="0"/>
        <v>0.95</v>
      </c>
      <c r="F66" s="40">
        <f t="shared" si="4"/>
        <v>0.99399999999999999</v>
      </c>
      <c r="G66" s="40">
        <f t="shared" si="5"/>
        <v>0.95</v>
      </c>
      <c r="H66" s="50">
        <f t="shared" si="29"/>
        <v>1.7284564557883095</v>
      </c>
      <c r="I66" s="39">
        <f>IF(indtastning!J$23&gt;4.9,5,IF(indtastning!J$23&lt;indtastning!G82,indtastning!J$23,indtastning!G82))</f>
        <v>1.5</v>
      </c>
      <c r="J66" s="41">
        <f t="shared" si="18"/>
        <v>1.5</v>
      </c>
      <c r="K66" s="40">
        <f t="shared" si="6"/>
        <v>1.8549467122723495</v>
      </c>
      <c r="L66" s="40">
        <f t="shared" si="31"/>
        <v>0.95081418850259791</v>
      </c>
      <c r="M66" s="40">
        <f t="shared" si="7"/>
        <v>1.763709652944796</v>
      </c>
      <c r="N66" s="41">
        <f>indtastning!D82</f>
        <v>7.7</v>
      </c>
      <c r="O66" s="45">
        <f t="shared" si="8"/>
        <v>13.58056432767493</v>
      </c>
      <c r="P66" s="39">
        <f t="shared" si="9"/>
        <v>15.455901516417033</v>
      </c>
      <c r="Q66" s="48">
        <f t="shared" si="10"/>
        <v>13.455901516417033</v>
      </c>
      <c r="R66" s="39">
        <f t="shared" si="30"/>
        <v>20.372631926363411</v>
      </c>
      <c r="S66" s="41">
        <f t="shared" si="11"/>
        <v>15.621036438191592</v>
      </c>
      <c r="T66" s="40">
        <f t="shared" si="19"/>
        <v>2.0287060309339728</v>
      </c>
      <c r="U66" s="40">
        <f t="shared" si="20"/>
        <v>0.73938755893057218</v>
      </c>
      <c r="V66" s="44">
        <f t="shared" si="21"/>
        <v>481.64967834667112</v>
      </c>
      <c r="W66" s="45">
        <f t="shared" si="23"/>
        <v>45.950312795189447</v>
      </c>
      <c r="X66" s="41">
        <f t="shared" si="24"/>
        <v>1.677957116345008</v>
      </c>
      <c r="Y66" s="45">
        <f t="shared" si="25"/>
        <v>941.41225114390693</v>
      </c>
      <c r="Z66" s="41">
        <f t="shared" si="26"/>
        <v>16.810933056141195</v>
      </c>
      <c r="AA66" s="41">
        <f t="shared" si="27"/>
        <v>0.8205412999140973</v>
      </c>
      <c r="AB66" s="39">
        <f>indtastning!F82/indtastning!E82</f>
        <v>1.8095238095238093</v>
      </c>
      <c r="AC66" s="40">
        <f t="shared" si="22"/>
        <v>2.714285714285714</v>
      </c>
      <c r="AD66" s="40">
        <f t="shared" si="28"/>
        <v>102.5923351302812</v>
      </c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</row>
    <row r="67" spans="1:44" x14ac:dyDescent="0.25">
      <c r="A67" s="37">
        <v>56</v>
      </c>
      <c r="B67" s="39">
        <f t="shared" si="17"/>
        <v>33.530119867997485</v>
      </c>
      <c r="C67" s="39">
        <f>indtastning!E83</f>
        <v>1.05</v>
      </c>
      <c r="D67" s="40">
        <f t="shared" si="3"/>
        <v>0.92</v>
      </c>
      <c r="E67" s="40">
        <f t="shared" si="0"/>
        <v>0.95</v>
      </c>
      <c r="F67" s="40">
        <f t="shared" si="4"/>
        <v>0.99399999999999999</v>
      </c>
      <c r="G67" s="40">
        <f t="shared" si="5"/>
        <v>0.95</v>
      </c>
      <c r="H67" s="50">
        <f t="shared" si="29"/>
        <v>1.7622493818195539</v>
      </c>
      <c r="I67" s="39">
        <f>IF(indtastning!J$23&gt;4.9,5,IF(indtastning!J$23&lt;indtastning!G83,indtastning!J$23,indtastning!G83))</f>
        <v>1.5</v>
      </c>
      <c r="J67" s="39">
        <f t="shared" si="18"/>
        <v>1.5</v>
      </c>
      <c r="K67" s="42">
        <f t="shared" si="6"/>
        <v>1.8665852201444049</v>
      </c>
      <c r="L67" s="40">
        <f t="shared" si="31"/>
        <v>0.95027332640352991</v>
      </c>
      <c r="M67" s="42">
        <f t="shared" si="7"/>
        <v>1.7737661461622887</v>
      </c>
      <c r="N67" s="39">
        <f>indtastning!D83</f>
        <v>7.7</v>
      </c>
      <c r="O67" s="48">
        <f t="shared" si="8"/>
        <v>13.657999325449623</v>
      </c>
      <c r="P67" s="39">
        <f t="shared" si="9"/>
        <v>15.461368532995726</v>
      </c>
      <c r="Q67" s="48">
        <f t="shared" si="10"/>
        <v>13.461368532995726</v>
      </c>
      <c r="R67" s="39">
        <f t="shared" si="30"/>
        <v>20.379051982709647</v>
      </c>
      <c r="S67" s="41">
        <f t="shared" si="11"/>
        <v>15.678137577965721</v>
      </c>
      <c r="T67" s="42">
        <f t="shared" si="19"/>
        <v>2.0361217633721713</v>
      </c>
      <c r="U67" s="42">
        <f t="shared" si="20"/>
        <v>0.73669464517472638</v>
      </c>
      <c r="V67" s="51">
        <f t="shared" si="21"/>
        <v>486.25214049995509</v>
      </c>
      <c r="W67" s="48">
        <f t="shared" si="23"/>
        <v>47.450312795189447</v>
      </c>
      <c r="X67" s="39">
        <f t="shared" si="24"/>
        <v>1.6874811061405972</v>
      </c>
      <c r="Y67" s="48">
        <f t="shared" si="25"/>
        <v>957.09038872187261</v>
      </c>
      <c r="Z67" s="39">
        <f t="shared" si="26"/>
        <v>16.791059451260924</v>
      </c>
      <c r="AA67" s="39">
        <f t="shared" si="27"/>
        <v>0.83246162798577972</v>
      </c>
      <c r="AB67" s="39">
        <f>indtastning!F83/indtastning!E83</f>
        <v>1.8095238095238093</v>
      </c>
      <c r="AC67" s="40">
        <f t="shared" si="22"/>
        <v>2.714285714285714</v>
      </c>
      <c r="AD67" s="40">
        <f t="shared" si="28"/>
        <v>105.30662084456691</v>
      </c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</row>
    <row r="68" spans="1:44" x14ac:dyDescent="0.25">
      <c r="A68" s="28">
        <v>57</v>
      </c>
      <c r="B68" s="41">
        <f t="shared" si="17"/>
        <v>34.266814513172214</v>
      </c>
      <c r="C68" s="41">
        <f>indtastning!E84</f>
        <v>1.05</v>
      </c>
      <c r="D68" s="40">
        <f t="shared" si="3"/>
        <v>0.92</v>
      </c>
      <c r="E68" s="40">
        <f t="shared" si="0"/>
        <v>0.95</v>
      </c>
      <c r="F68" s="40">
        <f t="shared" si="4"/>
        <v>0.99399999999999999</v>
      </c>
      <c r="G68" s="40">
        <f t="shared" si="5"/>
        <v>0.95</v>
      </c>
      <c r="H68" s="50">
        <f t="shared" si="29"/>
        <v>1.7956919599091519</v>
      </c>
      <c r="I68" s="39">
        <f>IF(indtastning!J$23&gt;4.9,5,IF(indtastning!J$23&lt;indtastning!G84,indtastning!J$23,indtastning!G84))</f>
        <v>1.5286</v>
      </c>
      <c r="J68" s="41">
        <f t="shared" si="18"/>
        <v>1.5286</v>
      </c>
      <c r="K68" s="40">
        <f t="shared" si="6"/>
        <v>1.8781813395591924</v>
      </c>
      <c r="L68" s="40">
        <f t="shared" si="31"/>
        <v>0.94977648628152311</v>
      </c>
      <c r="M68" s="40">
        <f t="shared" si="7"/>
        <v>1.7838524732860541</v>
      </c>
      <c r="N68" s="41">
        <f>indtastning!D84</f>
        <v>7.7</v>
      </c>
      <c r="O68" s="45">
        <f t="shared" si="8"/>
        <v>13.735664044302617</v>
      </c>
      <c r="P68" s="39">
        <f t="shared" si="9"/>
        <v>15.466767883607744</v>
      </c>
      <c r="Q68" s="48">
        <f t="shared" si="10"/>
        <v>13.466767883607744</v>
      </c>
      <c r="R68" s="39">
        <f t="shared" si="30"/>
        <v>20.385378633989763</v>
      </c>
      <c r="S68" s="41">
        <f t="shared" si="11"/>
        <v>15.735343776788401</v>
      </c>
      <c r="T68" s="40">
        <f t="shared" si="19"/>
        <v>2.0435511398426494</v>
      </c>
      <c r="U68" s="40">
        <f t="shared" si="20"/>
        <v>0.74801162065251769</v>
      </c>
      <c r="V68" s="44">
        <f t="shared" si="21"/>
        <v>490.64586865214409</v>
      </c>
      <c r="W68" s="45">
        <f t="shared" si="23"/>
        <v>48.978912795189444</v>
      </c>
      <c r="X68" s="41">
        <f t="shared" si="24"/>
        <v>1.6966649087918331</v>
      </c>
      <c r="Y68" s="45">
        <f t="shared" si="25"/>
        <v>972.82573249866107</v>
      </c>
      <c r="Z68" s="41">
        <f t="shared" si="26"/>
        <v>16.772857456873467</v>
      </c>
      <c r="AA68" s="41">
        <f t="shared" si="27"/>
        <v>0.84446401371016289</v>
      </c>
      <c r="AB68" s="39">
        <f>indtastning!F84/indtastning!E84</f>
        <v>1.8095238095238093</v>
      </c>
      <c r="AC68" s="40">
        <f t="shared" si="22"/>
        <v>2.714285714285714</v>
      </c>
      <c r="AD68" s="40">
        <f t="shared" si="28"/>
        <v>108.02090655885262</v>
      </c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</row>
    <row r="69" spans="1:44" x14ac:dyDescent="0.25">
      <c r="A69" s="28">
        <v>58</v>
      </c>
      <c r="B69" s="41">
        <f t="shared" si="17"/>
        <v>35.014826133824734</v>
      </c>
      <c r="C69" s="41">
        <f>indtastning!E85</f>
        <v>1.05</v>
      </c>
      <c r="D69" s="40">
        <f t="shared" si="3"/>
        <v>0.92</v>
      </c>
      <c r="E69" s="40">
        <f t="shared" si="0"/>
        <v>0.95</v>
      </c>
      <c r="F69" s="40">
        <f t="shared" si="4"/>
        <v>0.99399999999999999</v>
      </c>
      <c r="G69" s="40">
        <f t="shared" si="5"/>
        <v>0.95</v>
      </c>
      <c r="H69" s="50">
        <f t="shared" si="29"/>
        <v>1.8294161663822375</v>
      </c>
      <c r="I69" s="39">
        <f>IF(indtastning!J$23&gt;4.9,5,IF(indtastning!J$23&lt;indtastning!G85,indtastning!J$23,indtastning!G85))</f>
        <v>1.5571999999999999</v>
      </c>
      <c r="J69" s="41">
        <f t="shared" si="18"/>
        <v>1.5571999999999999</v>
      </c>
      <c r="K69" s="40">
        <f t="shared" si="6"/>
        <v>1.8899555965509449</v>
      </c>
      <c r="L69" s="40">
        <f t="shared" si="31"/>
        <v>0.94932143642183675</v>
      </c>
      <c r="M69" s="40">
        <f t="shared" si="7"/>
        <v>1.7941753616912324</v>
      </c>
      <c r="N69" s="41">
        <f>indtastning!D85</f>
        <v>7.7</v>
      </c>
      <c r="O69" s="45">
        <f t="shared" si="8"/>
        <v>13.81515028502249</v>
      </c>
      <c r="P69" s="39">
        <f t="shared" si="9"/>
        <v>15.472202877465289</v>
      </c>
      <c r="Q69" s="48">
        <f t="shared" si="10"/>
        <v>13.472202877465289</v>
      </c>
      <c r="R69" s="39">
        <f t="shared" si="30"/>
        <v>20.39173326874382</v>
      </c>
      <c r="S69" s="41">
        <f t="shared" si="11"/>
        <v>15.793824523870846</v>
      </c>
      <c r="T69" s="40">
        <f t="shared" si="19"/>
        <v>2.0511460420611489</v>
      </c>
      <c r="U69" s="40">
        <f t="shared" si="20"/>
        <v>0.75918533740055183</v>
      </c>
      <c r="V69" s="44">
        <f t="shared" si="21"/>
        <v>495.08320920387473</v>
      </c>
      <c r="W69" s="45">
        <f t="shared" si="23"/>
        <v>50.536112795189446</v>
      </c>
      <c r="X69" s="41">
        <f t="shared" si="24"/>
        <v>1.7057011791373711</v>
      </c>
      <c r="Y69" s="45">
        <f t="shared" si="25"/>
        <v>988.61955702253192</v>
      </c>
      <c r="Z69" s="41">
        <f t="shared" si="26"/>
        <v>16.756263678347999</v>
      </c>
      <c r="AA69" s="41">
        <f t="shared" si="27"/>
        <v>0.85654428466422794</v>
      </c>
      <c r="AB69" s="39">
        <f>indtastning!F85/indtastning!E85</f>
        <v>1.8095238095238093</v>
      </c>
      <c r="AC69" s="40">
        <f t="shared" si="22"/>
        <v>2.7660380952380947</v>
      </c>
      <c r="AD69" s="40">
        <f t="shared" si="28"/>
        <v>110.78694465409072</v>
      </c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</row>
    <row r="70" spans="1:44" x14ac:dyDescent="0.25">
      <c r="A70" s="28">
        <v>59</v>
      </c>
      <c r="B70" s="41">
        <f t="shared" si="17"/>
        <v>35.774011471225286</v>
      </c>
      <c r="C70" s="41">
        <f>indtastning!E86</f>
        <v>1.05</v>
      </c>
      <c r="D70" s="40">
        <f t="shared" si="3"/>
        <v>0.92</v>
      </c>
      <c r="E70" s="40">
        <f t="shared" si="0"/>
        <v>0.95</v>
      </c>
      <c r="F70" s="40">
        <f t="shared" si="4"/>
        <v>0.99399999999999999</v>
      </c>
      <c r="G70" s="40">
        <f t="shared" si="5"/>
        <v>0.95</v>
      </c>
      <c r="H70" s="50">
        <f t="shared" si="29"/>
        <v>1.8634049948641722</v>
      </c>
      <c r="I70" s="39">
        <f>IF(indtastning!J$23&gt;4.9,5,IF(indtastning!J$23&lt;indtastning!G86,indtastning!J$23,indtastning!G86))</f>
        <v>1.5857999999999999</v>
      </c>
      <c r="J70" s="41">
        <f t="shared" si="18"/>
        <v>1.5857999999999999</v>
      </c>
      <c r="K70" s="40">
        <f t="shared" si="6"/>
        <v>1.9019057361211389</v>
      </c>
      <c r="L70" s="40">
        <f t="shared" si="31"/>
        <v>0.94890659195869997</v>
      </c>
      <c r="M70" s="40">
        <f t="shared" si="7"/>
        <v>1.8047308902894124</v>
      </c>
      <c r="N70" s="41">
        <f>indtastning!D86</f>
        <v>7.7</v>
      </c>
      <c r="O70" s="45">
        <f t="shared" si="8"/>
        <v>13.896427855228476</v>
      </c>
      <c r="P70" s="39">
        <f t="shared" si="9"/>
        <v>15.477671775354331</v>
      </c>
      <c r="Q70" s="48">
        <f t="shared" si="10"/>
        <v>13.477671775354331</v>
      </c>
      <c r="R70" s="39">
        <f t="shared" si="30"/>
        <v>20.398113797460194</v>
      </c>
      <c r="S70" s="41">
        <f t="shared" si="11"/>
        <v>15.853557367405505</v>
      </c>
      <c r="T70" s="40">
        <f t="shared" si="19"/>
        <v>2.058903554208507</v>
      </c>
      <c r="U70" s="40">
        <f t="shared" si="20"/>
        <v>0.77021577662467067</v>
      </c>
      <c r="V70" s="44">
        <f t="shared" si="21"/>
        <v>499.55951646144553</v>
      </c>
      <c r="W70" s="45">
        <f t="shared" si="23"/>
        <v>52.121912795189445</v>
      </c>
      <c r="X70" s="41">
        <f t="shared" si="24"/>
        <v>1.7145990746636759</v>
      </c>
      <c r="Y70" s="45">
        <f t="shared" si="25"/>
        <v>1004.4731143899375</v>
      </c>
      <c r="Z70" s="41">
        <f t="shared" si="26"/>
        <v>16.741218573165625</v>
      </c>
      <c r="AA70" s="41">
        <f t="shared" si="27"/>
        <v>0.86869854658649071</v>
      </c>
      <c r="AB70" s="39">
        <f>indtastning!F86/indtastning!E86</f>
        <v>1.8095238095238093</v>
      </c>
      <c r="AC70" s="40">
        <f t="shared" si="22"/>
        <v>2.8177904761904755</v>
      </c>
      <c r="AD70" s="40">
        <f t="shared" si="28"/>
        <v>113.6047351302812</v>
      </c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</row>
    <row r="71" spans="1:44" x14ac:dyDescent="0.25">
      <c r="A71" s="28">
        <v>60</v>
      </c>
      <c r="B71" s="41">
        <f t="shared" si="17"/>
        <v>36.54422724784996</v>
      </c>
      <c r="C71" s="41">
        <f>indtastning!E87</f>
        <v>1.05</v>
      </c>
      <c r="D71" s="40">
        <f t="shared" si="3"/>
        <v>0.92</v>
      </c>
      <c r="E71" s="40">
        <f t="shared" si="0"/>
        <v>0.95</v>
      </c>
      <c r="F71" s="40">
        <f t="shared" si="4"/>
        <v>0.99399999999999999</v>
      </c>
      <c r="G71" s="40">
        <f t="shared" si="5"/>
        <v>0.95</v>
      </c>
      <c r="H71" s="50">
        <f t="shared" si="29"/>
        <v>1.8976414620834003</v>
      </c>
      <c r="I71" s="39">
        <f>IF(indtastning!J$23&gt;4.9,5,IF(indtastning!J$23&lt;indtastning!G87,indtastning!J$23,indtastning!G87))</f>
        <v>1.6143999999999998</v>
      </c>
      <c r="J71" s="41">
        <f t="shared" si="18"/>
        <v>1.6143999999999998</v>
      </c>
      <c r="K71" s="40">
        <f t="shared" si="6"/>
        <v>1.9140295029754162</v>
      </c>
      <c r="L71" s="40">
        <f t="shared" si="31"/>
        <v>0.94853046432914068</v>
      </c>
      <c r="M71" s="40">
        <f t="shared" si="7"/>
        <v>1.8155152931969458</v>
      </c>
      <c r="N71" s="41">
        <f>indtastning!D87</f>
        <v>7.7</v>
      </c>
      <c r="O71" s="45">
        <f t="shared" si="8"/>
        <v>13.979467757616483</v>
      </c>
      <c r="P71" s="39">
        <f t="shared" si="9"/>
        <v>15.483172895434388</v>
      </c>
      <c r="Q71" s="48">
        <f t="shared" si="10"/>
        <v>13.483172895434388</v>
      </c>
      <c r="R71" s="39">
        <f t="shared" si="30"/>
        <v>20.404518215175109</v>
      </c>
      <c r="S71" s="41">
        <f t="shared" si="11"/>
        <v>15.914520755562608</v>
      </c>
      <c r="T71" s="40">
        <f t="shared" si="19"/>
        <v>2.0668208773457932</v>
      </c>
      <c r="U71" s="40">
        <f t="shared" si="20"/>
        <v>0.78110300592338155</v>
      </c>
      <c r="V71" s="44">
        <f t="shared" si="21"/>
        <v>504.07045413083262</v>
      </c>
      <c r="W71" s="45">
        <f t="shared" si="23"/>
        <v>53.736312795189448</v>
      </c>
      <c r="X71" s="41">
        <f t="shared" si="24"/>
        <v>1.7233673179365081</v>
      </c>
      <c r="Y71" s="45">
        <f t="shared" si="25"/>
        <v>1020.3876351455001</v>
      </c>
      <c r="Z71" s="41">
        <f t="shared" si="26"/>
        <v>16.727666149926232</v>
      </c>
      <c r="AA71" s="41">
        <f t="shared" si="27"/>
        <v>0.88092316057687625</v>
      </c>
      <c r="AB71" s="39">
        <f>indtastning!F87/indtastning!E87</f>
        <v>1.8095238095238093</v>
      </c>
      <c r="AC71" s="40">
        <f t="shared" si="22"/>
        <v>2.8695428571428567</v>
      </c>
      <c r="AD71" s="40">
        <f t="shared" si="28"/>
        <v>116.47427798742406</v>
      </c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</row>
    <row r="72" spans="1:44" x14ac:dyDescent="0.25">
      <c r="A72" s="28">
        <v>61</v>
      </c>
      <c r="B72" s="41">
        <f t="shared" si="17"/>
        <v>37.325330253773345</v>
      </c>
      <c r="C72" s="41">
        <f>indtastning!E88</f>
        <v>1.05</v>
      </c>
      <c r="D72" s="40">
        <f t="shared" si="3"/>
        <v>0.92</v>
      </c>
      <c r="E72" s="40">
        <f t="shared" si="0"/>
        <v>0.95</v>
      </c>
      <c r="F72" s="40">
        <f t="shared" si="4"/>
        <v>0.99399999999999999</v>
      </c>
      <c r="G72" s="40">
        <f t="shared" si="5"/>
        <v>0.95</v>
      </c>
      <c r="H72" s="50">
        <f t="shared" si="29"/>
        <v>1.9321086183483809</v>
      </c>
      <c r="I72" s="39">
        <f>IF(indtastning!J$23&gt;4.9,5,IF(indtastning!J$23&lt;indtastning!G88,indtastning!J$23,indtastning!G88))</f>
        <v>1.6429999999999998</v>
      </c>
      <c r="J72" s="41">
        <f t="shared" si="18"/>
        <v>1.6429999999999998</v>
      </c>
      <c r="K72" s="40">
        <f t="shared" si="6"/>
        <v>1.9263246428834693</v>
      </c>
      <c r="L72" s="40">
        <f t="shared" si="31"/>
        <v>0.94819165374815584</v>
      </c>
      <c r="M72" s="40">
        <f t="shared" si="7"/>
        <v>1.8265249487915025</v>
      </c>
      <c r="N72" s="41">
        <f>indtastning!D88</f>
        <v>7.7</v>
      </c>
      <c r="O72" s="45">
        <f t="shared" si="8"/>
        <v>14.06424210569457</v>
      </c>
      <c r="P72" s="39">
        <f t="shared" si="9"/>
        <v>15.488704611692416</v>
      </c>
      <c r="Q72" s="48">
        <f t="shared" si="10"/>
        <v>13.488704611692416</v>
      </c>
      <c r="R72" s="39">
        <f t="shared" si="30"/>
        <v>20.410944598582994</v>
      </c>
      <c r="S72" s="41">
        <f t="shared" si="11"/>
        <v>15.976693975191996</v>
      </c>
      <c r="T72" s="40">
        <f t="shared" si="19"/>
        <v>2.0748953214535057</v>
      </c>
      <c r="U72" s="40">
        <f t="shared" si="20"/>
        <v>0.79184717561994666</v>
      </c>
      <c r="V72" s="44">
        <f t="shared" si="21"/>
        <v>508.61197137333346</v>
      </c>
      <c r="W72" s="45">
        <f t="shared" si="23"/>
        <v>55.379312795189449</v>
      </c>
      <c r="X72" s="41">
        <f t="shared" si="24"/>
        <v>1.7320142076055407</v>
      </c>
      <c r="Y72" s="45">
        <f t="shared" si="25"/>
        <v>1036.364329120692</v>
      </c>
      <c r="Z72" s="41">
        <f t="shared" si="26"/>
        <v>16.715553695495032</v>
      </c>
      <c r="AA72" s="41">
        <f t="shared" si="27"/>
        <v>0.89321472250305567</v>
      </c>
      <c r="AB72" s="39">
        <f>indtastning!F88/indtastning!E88</f>
        <v>1.8095238095238093</v>
      </c>
      <c r="AC72" s="40">
        <f t="shared" si="22"/>
        <v>2.9212952380952375</v>
      </c>
      <c r="AD72" s="40">
        <f t="shared" si="28"/>
        <v>119.3955732255193</v>
      </c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</row>
    <row r="73" spans="1:44" x14ac:dyDescent="0.25">
      <c r="A73" s="28">
        <v>62</v>
      </c>
      <c r="B73" s="41">
        <f t="shared" si="17"/>
        <v>38.117177429393294</v>
      </c>
      <c r="C73" s="41">
        <f>indtastning!E89</f>
        <v>1.05</v>
      </c>
      <c r="D73" s="40">
        <f t="shared" si="3"/>
        <v>0.92</v>
      </c>
      <c r="E73" s="40">
        <f t="shared" si="0"/>
        <v>0.95</v>
      </c>
      <c r="F73" s="40">
        <f t="shared" si="4"/>
        <v>0.99399999999999999</v>
      </c>
      <c r="G73" s="40">
        <f t="shared" si="5"/>
        <v>0.95</v>
      </c>
      <c r="H73" s="50">
        <f t="shared" si="29"/>
        <v>1.9667895576083874</v>
      </c>
      <c r="I73" s="39">
        <f>IF(indtastning!J$23&gt;4.9,5,IF(indtastning!J$23&lt;indtastning!G89,indtastning!J$23,indtastning!G89))</f>
        <v>1.6715999999999998</v>
      </c>
      <c r="J73" s="41">
        <f t="shared" si="18"/>
        <v>1.6715999999999998</v>
      </c>
      <c r="K73" s="40">
        <f t="shared" si="6"/>
        <v>1.9387889039811907</v>
      </c>
      <c r="L73" s="40">
        <f t="shared" si="31"/>
        <v>0.94788884238737581</v>
      </c>
      <c r="M73" s="40">
        <f t="shared" si="7"/>
        <v>1.83775636982822</v>
      </c>
      <c r="N73" s="41">
        <f>indtastning!D89</f>
        <v>7.7</v>
      </c>
      <c r="O73" s="45">
        <f t="shared" si="8"/>
        <v>14.150724047677294</v>
      </c>
      <c r="P73" s="39">
        <f t="shared" si="9"/>
        <v>15.494265352394828</v>
      </c>
      <c r="Q73" s="48">
        <f t="shared" si="10"/>
        <v>13.494265352394828</v>
      </c>
      <c r="R73" s="39">
        <f t="shared" si="30"/>
        <v>20.417391103186574</v>
      </c>
      <c r="S73" s="41">
        <f t="shared" si="11"/>
        <v>16.04005709628975</v>
      </c>
      <c r="T73" s="40">
        <f t="shared" si="19"/>
        <v>2.083124298219448</v>
      </c>
      <c r="U73" s="40">
        <f t="shared" si="20"/>
        <v>0.80244851516004156</v>
      </c>
      <c r="V73" s="44">
        <f t="shared" si="21"/>
        <v>513.18028111924662</v>
      </c>
      <c r="W73" s="45">
        <f t="shared" si="23"/>
        <v>57.050912795189447</v>
      </c>
      <c r="X73" s="41">
        <f t="shared" si="24"/>
        <v>1.7405476308539243</v>
      </c>
      <c r="Y73" s="45">
        <f t="shared" si="25"/>
        <v>1052.4043862169817</v>
      </c>
      <c r="Z73" s="41">
        <f t="shared" si="26"/>
        <v>16.704831527253678</v>
      </c>
      <c r="AA73" s="41">
        <f t="shared" si="27"/>
        <v>0.90557004436808641</v>
      </c>
      <c r="AB73" s="39">
        <f>indtastning!F89/indtastning!E89</f>
        <v>1.8095238095238093</v>
      </c>
      <c r="AC73" s="40">
        <f t="shared" si="22"/>
        <v>2.9730476190476183</v>
      </c>
      <c r="AD73" s="40">
        <f t="shared" si="28"/>
        <v>122.36862084456692</v>
      </c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</row>
    <row r="74" spans="1:44" x14ac:dyDescent="0.25">
      <c r="A74" s="37">
        <v>63</v>
      </c>
      <c r="B74" s="39">
        <f t="shared" si="17"/>
        <v>38.919625944553339</v>
      </c>
      <c r="C74" s="39">
        <f>indtastning!E90</f>
        <v>1.05</v>
      </c>
      <c r="D74" s="40">
        <f t="shared" si="3"/>
        <v>0.92</v>
      </c>
      <c r="E74" s="40">
        <f t="shared" si="0"/>
        <v>0.95</v>
      </c>
      <c r="F74" s="40">
        <f t="shared" si="4"/>
        <v>0.99399999999999999</v>
      </c>
      <c r="G74" s="40">
        <f t="shared" si="5"/>
        <v>0.95</v>
      </c>
      <c r="H74" s="50">
        <f t="shared" si="29"/>
        <v>2.001667427101554</v>
      </c>
      <c r="I74" s="39">
        <f>IF(indtastning!J$23&gt;4.9,5,IF(indtastning!J$23&lt;indtastning!G90,indtastning!J$23,indtastning!G90))</f>
        <v>1.7</v>
      </c>
      <c r="J74" s="39">
        <f t="shared" si="18"/>
        <v>1.7</v>
      </c>
      <c r="K74" s="42">
        <f t="shared" si="6"/>
        <v>1.9514200380161175</v>
      </c>
      <c r="L74" s="40">
        <f t="shared" si="31"/>
        <v>0.94762078818134199</v>
      </c>
      <c r="M74" s="42">
        <f t="shared" si="7"/>
        <v>1.8492061944976976</v>
      </c>
      <c r="N74" s="39">
        <f>indtastning!D90</f>
        <v>7.7</v>
      </c>
      <c r="O74" s="48">
        <f t="shared" si="8"/>
        <v>14.238887697632272</v>
      </c>
      <c r="P74" s="39">
        <f t="shared" si="9"/>
        <v>15.499853598544499</v>
      </c>
      <c r="Q74" s="48">
        <f t="shared" si="10"/>
        <v>13.499853598544499</v>
      </c>
      <c r="R74" s="39">
        <f t="shared" si="30"/>
        <v>20.423855960495317</v>
      </c>
      <c r="S74" s="41">
        <f t="shared" si="11"/>
        <v>16.104590921597037</v>
      </c>
      <c r="T74" s="42">
        <f t="shared" si="19"/>
        <v>2.0915053144931215</v>
      </c>
      <c r="U74" s="42">
        <f t="shared" si="20"/>
        <v>0.81281170467023023</v>
      </c>
      <c r="V74" s="51">
        <f t="shared" si="21"/>
        <v>517.77184038973553</v>
      </c>
      <c r="W74" s="48">
        <f t="shared" si="23"/>
        <v>58.75091279518945</v>
      </c>
      <c r="X74" s="39">
        <f t="shared" si="24"/>
        <v>1.7489750769111905</v>
      </c>
      <c r="Y74" s="48">
        <f t="shared" si="25"/>
        <v>1068.5089771385788</v>
      </c>
      <c r="Z74" s="39">
        <f t="shared" si="26"/>
        <v>16.695452767790293</v>
      </c>
      <c r="AA74" s="39">
        <f t="shared" si="27"/>
        <v>0.91798301242483515</v>
      </c>
      <c r="AB74" s="39">
        <f>indtastning!F90/indtastning!E90</f>
        <v>1.8095238095238093</v>
      </c>
      <c r="AC74" s="40">
        <f t="shared" si="22"/>
        <v>3.024799999999999</v>
      </c>
      <c r="AD74" s="40">
        <f t="shared" si="28"/>
        <v>125.39342084456692</v>
      </c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</row>
    <row r="75" spans="1:44" x14ac:dyDescent="0.25">
      <c r="A75" s="28">
        <v>64</v>
      </c>
      <c r="B75" s="41">
        <f t="shared" si="17"/>
        <v>39.73243764922357</v>
      </c>
      <c r="C75" s="41">
        <f>indtastning!E91</f>
        <v>1.05</v>
      </c>
      <c r="D75" s="40">
        <f t="shared" si="3"/>
        <v>0.92</v>
      </c>
      <c r="E75" s="40">
        <f t="shared" ref="E75:E138" si="32">IF(C75&gt;1.12,1,IF(C75&gt;1.1,1-(1.12-C75)*0.5,IF(C75&gt;1.05,0.99-(1.1-C75)*0.8,IF(C75&gt;1,0.95-(1.05-C75)*1.1,IF(C75&lt;1.01,0.9-(1-C75)*1.4,0.8)))))</f>
        <v>0.95</v>
      </c>
      <c r="F75" s="40">
        <f t="shared" si="4"/>
        <v>0.99399999999999999</v>
      </c>
      <c r="G75" s="40">
        <f t="shared" si="5"/>
        <v>0.95</v>
      </c>
      <c r="H75" s="50">
        <f t="shared" si="29"/>
        <v>2.0367213288521695</v>
      </c>
      <c r="I75" s="39">
        <f>IF(indtastning!J$23&gt;4.9,5,IF(indtastning!J$23&lt;indtastning!G91,indtastning!J$23,indtastning!G91))</f>
        <v>1.7357499999999999</v>
      </c>
      <c r="J75" s="41">
        <f t="shared" si="18"/>
        <v>1.7357499999999999</v>
      </c>
      <c r="K75" s="40">
        <f t="shared" si="6"/>
        <v>1.964214296330371</v>
      </c>
      <c r="L75" s="40">
        <f t="shared" si="31"/>
        <v>0.94738631919475735</v>
      </c>
      <c r="M75" s="40">
        <f t="shared" si="7"/>
        <v>1.8608697523101505</v>
      </c>
      <c r="N75" s="41">
        <f>indtastning!D91</f>
        <v>7.7</v>
      </c>
      <c r="O75" s="45">
        <f t="shared" si="8"/>
        <v>14.328697092788159</v>
      </c>
      <c r="P75" s="39">
        <f t="shared" si="9"/>
        <v>15.505467224639272</v>
      </c>
      <c r="Q75" s="48">
        <f t="shared" si="10"/>
        <v>13.505467224639272</v>
      </c>
      <c r="R75" s="39">
        <f t="shared" si="30"/>
        <v>20.430336716757193</v>
      </c>
      <c r="S75" s="41">
        <f t="shared" si="11"/>
        <v>16.170268924458028</v>
      </c>
      <c r="T75" s="40">
        <f t="shared" si="19"/>
        <v>2.1000349252542891</v>
      </c>
      <c r="U75" s="40">
        <f t="shared" si="20"/>
        <v>0.82653387290205249</v>
      </c>
      <c r="V75" s="44">
        <f t="shared" si="21"/>
        <v>522.38183826911836</v>
      </c>
      <c r="W75" s="45">
        <f t="shared" si="23"/>
        <v>60.486662795189453</v>
      </c>
      <c r="X75" s="41">
        <f t="shared" si="24"/>
        <v>1.7573026954124558</v>
      </c>
      <c r="Y75" s="45">
        <f t="shared" si="25"/>
        <v>1084.6792460630368</v>
      </c>
      <c r="Z75" s="41">
        <f t="shared" si="26"/>
        <v>16.68737301635441</v>
      </c>
      <c r="AA75" s="41">
        <f t="shared" si="27"/>
        <v>0.93056404300291462</v>
      </c>
      <c r="AB75" s="39">
        <f>indtastning!F91/indtastning!E91</f>
        <v>1.8095238095238093</v>
      </c>
      <c r="AC75" s="40">
        <f t="shared" si="22"/>
        <v>3.0761904761904759</v>
      </c>
      <c r="AD75" s="40">
        <f t="shared" si="28"/>
        <v>128.46961132075739</v>
      </c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</row>
    <row r="76" spans="1:44" x14ac:dyDescent="0.25">
      <c r="A76" s="28">
        <v>65</v>
      </c>
      <c r="B76" s="41">
        <f t="shared" si="17"/>
        <v>40.558971522125624</v>
      </c>
      <c r="C76" s="41">
        <f>indtastning!E92</f>
        <v>1.05</v>
      </c>
      <c r="D76" s="40">
        <f t="shared" ref="D76:D139" si="33">IF(C76&gt;1.16,1,IF(C76&gt;1.1,1-(1.16-C76)*0.5,IF(C76&gt;1.05,0.967-(1.1-C76)*0.9,IF(C76&gt;1,0.92-(1.05-C76)*1.1,IF(C76&lt;1.01,0.86-(1-C76)*1.5,0.8)))))</f>
        <v>0.92</v>
      </c>
      <c r="E76" s="40">
        <f t="shared" si="32"/>
        <v>0.95</v>
      </c>
      <c r="F76" s="40">
        <f t="shared" ref="F76:F139" si="34">IF(C76&gt;1.12,1,IF(C76&gt;1.07,1,IF(C76&gt;1.02,1-(1.07-C76)*0.3,IF(C76&gt;0.98,0.985-(1.02-C76)*0.8,IF(C76&lt;0.9801,0.97-(1-C76)*1.1,0.8)))))</f>
        <v>0.99399999999999999</v>
      </c>
      <c r="G76" s="40">
        <f t="shared" ref="G76:G139" si="35">IF(B76&lt;10.01,D76, IF(B76&lt;20.01,D76+(B76-10)/10*(E76-D76),IF(B76&lt;50.01,E76,IF(B76&lt;100.01,F76+(100-B76)/50*(E76-F76),F76))))</f>
        <v>0.95</v>
      </c>
      <c r="H76" s="50">
        <f t="shared" si="29"/>
        <v>2.0720838329904998</v>
      </c>
      <c r="I76" s="39">
        <f>IF(indtastning!J$23&gt;4.9,5,IF(indtastning!J$23&lt;indtastning!G92,indtastning!J$23,indtastning!G92))</f>
        <v>1.7714999999999999</v>
      </c>
      <c r="J76" s="41">
        <f t="shared" si="18"/>
        <v>1.7714999999999999</v>
      </c>
      <c r="K76" s="40">
        <f t="shared" ref="K76:K139" si="36">$I$5+$I$4*B76</f>
        <v>1.9772245517371627</v>
      </c>
      <c r="L76" s="46">
        <f t="shared" si="31"/>
        <v>0.94718432540886033</v>
      </c>
      <c r="M76" s="40">
        <f t="shared" ref="M76:M111" si="37">K76*L76</f>
        <v>1.8727961032190008</v>
      </c>
      <c r="N76" s="39">
        <f>indtastning!D92</f>
        <v>7.7</v>
      </c>
      <c r="O76" s="45">
        <f t="shared" ref="O76:O111" si="38">M76*N76</f>
        <v>14.420529994786307</v>
      </c>
      <c r="P76" s="39">
        <f t="shared" ref="P76:P139" si="39">15.05+0.05*POWER(B76,0.6)</f>
        <v>15.511128712402479</v>
      </c>
      <c r="Q76" s="48">
        <f t="shared" ref="Q76:Q139" si="40">P76-2</f>
        <v>13.511128712402479</v>
      </c>
      <c r="R76" s="39">
        <f t="shared" si="30"/>
        <v>20.436859258566017</v>
      </c>
      <c r="S76" s="41">
        <f t="shared" ref="S76:S139" si="41">IF(O76&lt;Q76,P76,IF(O76&lt;R76,P76+(O76-13.2)*0.705-(B76-7)*0.004,O76))</f>
        <v>16.237366472638321</v>
      </c>
      <c r="T76" s="40">
        <f t="shared" si="19"/>
        <v>2.1087488925504312</v>
      </c>
      <c r="U76" s="40">
        <f t="shared" si="20"/>
        <v>0.84007157336663973</v>
      </c>
      <c r="V76" s="44">
        <f t="shared" si="21"/>
        <v>527.0611003403942</v>
      </c>
      <c r="W76" s="45">
        <f t="shared" si="23"/>
        <v>62.258162795189456</v>
      </c>
      <c r="X76" s="41">
        <f t="shared" si="24"/>
        <v>1.7655714724572242</v>
      </c>
      <c r="Y76" s="45">
        <f t="shared" si="25"/>
        <v>1100.9166125356751</v>
      </c>
      <c r="Z76" s="41">
        <f t="shared" si="26"/>
        <v>16.680554735389016</v>
      </c>
      <c r="AA76" s="41">
        <f t="shared" si="27"/>
        <v>0.94330549689680998</v>
      </c>
      <c r="AB76" s="39">
        <f>indtastning!F92/indtastning!E92</f>
        <v>1.8095238095238093</v>
      </c>
      <c r="AC76" s="40">
        <f t="shared" si="22"/>
        <v>3.140880952380952</v>
      </c>
      <c r="AD76" s="40">
        <f t="shared" si="28"/>
        <v>131.61049227313833</v>
      </c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</row>
    <row r="77" spans="1:44" x14ac:dyDescent="0.25">
      <c r="A77" s="28">
        <v>66</v>
      </c>
      <c r="B77" s="41">
        <f t="shared" ref="B77:B111" si="42">B76+U76</f>
        <v>41.399043095492267</v>
      </c>
      <c r="C77" s="41">
        <f>indtastning!E93</f>
        <v>1.05</v>
      </c>
      <c r="D77" s="40">
        <f t="shared" si="33"/>
        <v>0.92</v>
      </c>
      <c r="E77" s="40">
        <f t="shared" si="32"/>
        <v>0.95</v>
      </c>
      <c r="F77" s="40">
        <f t="shared" si="34"/>
        <v>0.99399999999999999</v>
      </c>
      <c r="G77" s="40">
        <f t="shared" si="35"/>
        <v>0.95</v>
      </c>
      <c r="H77" s="50">
        <f t="shared" si="29"/>
        <v>2.10773292121551</v>
      </c>
      <c r="I77" s="39">
        <f>IF(indtastning!J$23&gt;4.9,5,IF(indtastning!J$23&lt;indtastning!G93,indtastning!J$23,indtastning!G93))</f>
        <v>1.8072499999999998</v>
      </c>
      <c r="J77" s="41">
        <f t="shared" ref="J77:J111" si="43">IF(I77&lt;H77,I77,H77)</f>
        <v>1.8072499999999998</v>
      </c>
      <c r="K77" s="40">
        <f t="shared" si="36"/>
        <v>1.9904479005771931</v>
      </c>
      <c r="L77" s="46">
        <f t="shared" si="31"/>
        <v>0.94701386838472545</v>
      </c>
      <c r="M77" s="40">
        <f t="shared" si="37"/>
        <v>1.884981766143863</v>
      </c>
      <c r="N77" s="39">
        <f>indtastning!D93</f>
        <v>7.7</v>
      </c>
      <c r="O77" s="45">
        <f t="shared" si="38"/>
        <v>14.514359599307745</v>
      </c>
      <c r="P77" s="39">
        <f t="shared" si="39"/>
        <v>15.516835835358174</v>
      </c>
      <c r="Q77" s="48">
        <f t="shared" si="40"/>
        <v>13.516835835358174</v>
      </c>
      <c r="R77" s="39">
        <f t="shared" si="30"/>
        <v>20.443420881659062</v>
      </c>
      <c r="S77" s="41">
        <f t="shared" si="41"/>
        <v>16.305863180488167</v>
      </c>
      <c r="T77" s="40">
        <f t="shared" ref="T77:T111" si="44">S77/N77</f>
        <v>2.1176445688945673</v>
      </c>
      <c r="U77" s="40">
        <f t="shared" ref="U77:U111" si="45">J77/T77</f>
        <v>0.85342461456759156</v>
      </c>
      <c r="V77" s="44">
        <f t="shared" ref="V77:V111" si="46">(B77-$B$11)/(A77-$A$11)*1000</f>
        <v>531.80368326503435</v>
      </c>
      <c r="W77" s="45">
        <f t="shared" si="23"/>
        <v>64.065412795189459</v>
      </c>
      <c r="X77" s="41">
        <f t="shared" si="24"/>
        <v>1.773785189123438</v>
      </c>
      <c r="Y77" s="45">
        <f t="shared" si="25"/>
        <v>1117.2224757161632</v>
      </c>
      <c r="Z77" s="41">
        <f t="shared" si="26"/>
        <v>16.674962324121839</v>
      </c>
      <c r="AA77" s="41">
        <f t="shared" si="27"/>
        <v>0.95620019097297704</v>
      </c>
      <c r="AB77" s="39">
        <f>indtastning!F93/indtastning!E93</f>
        <v>1.8095238095238093</v>
      </c>
      <c r="AC77" s="40">
        <f t="shared" ref="AC77:AC140" si="47">J76*AB76</f>
        <v>3.2055714285714281</v>
      </c>
      <c r="AD77" s="40">
        <f t="shared" si="28"/>
        <v>134.81606370170977</v>
      </c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</row>
    <row r="78" spans="1:44" x14ac:dyDescent="0.25">
      <c r="A78" s="28">
        <v>67</v>
      </c>
      <c r="B78" s="41">
        <f t="shared" si="42"/>
        <v>42.252467710059861</v>
      </c>
      <c r="C78" s="41">
        <f>indtastning!E94</f>
        <v>1.05</v>
      </c>
      <c r="D78" s="40">
        <f t="shared" si="33"/>
        <v>0.92</v>
      </c>
      <c r="E78" s="40">
        <f t="shared" si="32"/>
        <v>0.95</v>
      </c>
      <c r="F78" s="40">
        <f t="shared" si="34"/>
        <v>0.99399999999999999</v>
      </c>
      <c r="G78" s="40">
        <f t="shared" si="35"/>
        <v>0.95</v>
      </c>
      <c r="H78" s="50">
        <f t="shared" si="29"/>
        <v>2.1436465943834784</v>
      </c>
      <c r="I78" s="39">
        <f>IF(indtastning!J$23&gt;4.9,5,IF(indtastning!J$23&lt;indtastning!G94,indtastning!J$23,indtastning!G94))</f>
        <v>1.8429999999999997</v>
      </c>
      <c r="J78" s="41">
        <f t="shared" si="43"/>
        <v>1.8429999999999997</v>
      </c>
      <c r="K78" s="40">
        <f t="shared" si="36"/>
        <v>2.0038814361768682</v>
      </c>
      <c r="L78" s="46">
        <f t="shared" si="31"/>
        <v>0.94687405810304603</v>
      </c>
      <c r="M78" s="40">
        <f t="shared" si="37"/>
        <v>1.8974233474301512</v>
      </c>
      <c r="N78" s="39">
        <f>indtastning!D94</f>
        <v>7.7</v>
      </c>
      <c r="O78" s="45">
        <f t="shared" si="38"/>
        <v>14.610159775212164</v>
      </c>
      <c r="P78" s="39">
        <f t="shared" si="39"/>
        <v>15.522586434843591</v>
      </c>
      <c r="Q78" s="48">
        <f t="shared" si="40"/>
        <v>13.522586434843591</v>
      </c>
      <c r="R78" s="39">
        <f t="shared" si="30"/>
        <v>20.450018982107906</v>
      </c>
      <c r="S78" s="41">
        <f t="shared" si="41"/>
        <v>16.375739205527928</v>
      </c>
      <c r="T78" s="40">
        <f t="shared" si="44"/>
        <v>2.1267193773412894</v>
      </c>
      <c r="U78" s="40">
        <f t="shared" si="45"/>
        <v>0.86659294105084028</v>
      </c>
      <c r="V78" s="44">
        <f t="shared" si="46"/>
        <v>536.60399567253523</v>
      </c>
      <c r="W78" s="45">
        <f t="shared" ref="W78:W111" si="48">W77+J78</f>
        <v>65.908412795189463</v>
      </c>
      <c r="X78" s="41">
        <f t="shared" ref="X78:X111" si="49">(W77/(B78-$B$11))</f>
        <v>1.7819475790048012</v>
      </c>
      <c r="Y78" s="45">
        <f t="shared" ref="Y78:Y111" si="50">S78+Y77</f>
        <v>1133.5982149216911</v>
      </c>
      <c r="Z78" s="41">
        <f t="shared" ref="Z78:Z111" si="51">Y78/(A79-$A$11)</f>
        <v>16.670561984142516</v>
      </c>
      <c r="AA78" s="41">
        <f t="shared" ref="AA78:AA111" si="52">W78/A79</f>
        <v>0.96924136463513921</v>
      </c>
      <c r="AB78" s="39">
        <f>indtastning!F94/indtastning!E94</f>
        <v>1.8095238095238093</v>
      </c>
      <c r="AC78" s="40">
        <f t="shared" si="47"/>
        <v>3.2702619047619041</v>
      </c>
      <c r="AD78" s="40">
        <f t="shared" ref="AD78:AD141" si="53">AD77+AC78</f>
        <v>138.08632560647166</v>
      </c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</row>
    <row r="79" spans="1:44" x14ac:dyDescent="0.25">
      <c r="A79" s="28">
        <v>68</v>
      </c>
      <c r="B79" s="41">
        <f t="shared" si="42"/>
        <v>43.119060651110701</v>
      </c>
      <c r="C79" s="41">
        <f>indtastning!E95</f>
        <v>1.05</v>
      </c>
      <c r="D79" s="40">
        <f t="shared" si="33"/>
        <v>0.92</v>
      </c>
      <c r="E79" s="40">
        <f t="shared" si="32"/>
        <v>0.95</v>
      </c>
      <c r="F79" s="40">
        <f t="shared" si="34"/>
        <v>0.99399999999999999</v>
      </c>
      <c r="G79" s="40">
        <f t="shared" si="35"/>
        <v>0.95</v>
      </c>
      <c r="H79" s="50">
        <f t="shared" si="29"/>
        <v>2.1798028888736689</v>
      </c>
      <c r="I79" s="39">
        <f>IF(indtastning!J$23&gt;4.9,5,IF(indtastning!J$23&lt;indtastning!G95,indtastning!J$23,indtastning!G95))</f>
        <v>1.8787499999999997</v>
      </c>
      <c r="J79" s="41">
        <f t="shared" si="43"/>
        <v>1.8787499999999997</v>
      </c>
      <c r="K79" s="40">
        <f t="shared" si="36"/>
        <v>2.0175222509897055</v>
      </c>
      <c r="L79" s="46">
        <f t="shared" si="31"/>
        <v>0.94676404960356297</v>
      </c>
      <c r="M79" s="40">
        <f t="shared" si="37"/>
        <v>1.9101175365123095</v>
      </c>
      <c r="N79" s="39">
        <f>indtastning!D95</f>
        <v>7.7</v>
      </c>
      <c r="O79" s="45">
        <f t="shared" si="38"/>
        <v>14.707905031144783</v>
      </c>
      <c r="P79" s="39">
        <f t="shared" si="39"/>
        <v>15.528378418854521</v>
      </c>
      <c r="Q79" s="48">
        <f t="shared" si="40"/>
        <v>13.528378418854521</v>
      </c>
      <c r="R79" s="39">
        <f t="shared" si="30"/>
        <v>20.456651053841465</v>
      </c>
      <c r="S79" s="41">
        <f t="shared" si="41"/>
        <v>16.446975223207151</v>
      </c>
      <c r="T79" s="40">
        <f t="shared" si="44"/>
        <v>2.1359708082087208</v>
      </c>
      <c r="U79" s="40">
        <f t="shared" si="45"/>
        <v>0.87957662753620081</v>
      </c>
      <c r="V79" s="44">
        <f t="shared" si="46"/>
        <v>541.45677428103977</v>
      </c>
      <c r="W79" s="45">
        <f t="shared" si="48"/>
        <v>67.78716279518946</v>
      </c>
      <c r="X79" s="41">
        <f t="shared" si="49"/>
        <v>1.7900623109243075</v>
      </c>
      <c r="Y79" s="45">
        <f t="shared" si="50"/>
        <v>1150.0451901448982</v>
      </c>
      <c r="Z79" s="41">
        <f t="shared" si="51"/>
        <v>16.667321596302873</v>
      </c>
      <c r="AA79" s="41">
        <f t="shared" si="52"/>
        <v>0.98242264920564437</v>
      </c>
      <c r="AB79" s="39">
        <f>indtastning!F95/indtastning!E95</f>
        <v>1.8095238095238093</v>
      </c>
      <c r="AC79" s="40">
        <f t="shared" si="47"/>
        <v>3.3349523809523802</v>
      </c>
      <c r="AD79" s="40">
        <f t="shared" si="53"/>
        <v>141.42127798742405</v>
      </c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</row>
    <row r="80" spans="1:44" x14ac:dyDescent="0.25">
      <c r="A80" s="28">
        <v>69</v>
      </c>
      <c r="B80" s="41">
        <f t="shared" si="42"/>
        <v>43.998637278646903</v>
      </c>
      <c r="C80" s="41">
        <f>indtastning!E96</f>
        <v>1.05</v>
      </c>
      <c r="D80" s="40">
        <f t="shared" si="33"/>
        <v>0.92</v>
      </c>
      <c r="E80" s="40">
        <f t="shared" si="32"/>
        <v>0.95</v>
      </c>
      <c r="F80" s="40">
        <f t="shared" si="34"/>
        <v>0.99399999999999999</v>
      </c>
      <c r="G80" s="40">
        <f t="shared" si="35"/>
        <v>0.95</v>
      </c>
      <c r="H80" s="50">
        <f t="shared" si="29"/>
        <v>2.2161798922856142</v>
      </c>
      <c r="I80" s="39">
        <f>IF(indtastning!J$23&gt;4.9,5,IF(indtastning!J$23&lt;indtastning!G96,indtastning!J$23,indtastning!G96))</f>
        <v>1.9144999999999996</v>
      </c>
      <c r="J80" s="41">
        <f t="shared" si="43"/>
        <v>1.9144999999999996</v>
      </c>
      <c r="K80" s="40">
        <f t="shared" si="36"/>
        <v>2.031367438645368</v>
      </c>
      <c r="L80" s="46">
        <f t="shared" si="31"/>
        <v>0.94668303990757185</v>
      </c>
      <c r="M80" s="40">
        <f t="shared" si="37"/>
        <v>1.9230611019860548</v>
      </c>
      <c r="N80" s="39">
        <f>indtastning!D96</f>
        <v>7.7</v>
      </c>
      <c r="O80" s="45">
        <f t="shared" si="38"/>
        <v>14.807570485292622</v>
      </c>
      <c r="P80" s="39">
        <f t="shared" si="39"/>
        <v>15.534209760807027</v>
      </c>
      <c r="Q80" s="48">
        <f t="shared" si="40"/>
        <v>13.534209760807027</v>
      </c>
      <c r="R80" s="39">
        <f t="shared" si="30"/>
        <v>20.463314686092861</v>
      </c>
      <c r="S80" s="41">
        <f t="shared" si="41"/>
        <v>16.519552403823738</v>
      </c>
      <c r="T80" s="40">
        <f t="shared" si="44"/>
        <v>2.1453964160810051</v>
      </c>
      <c r="U80" s="40">
        <f t="shared" si="45"/>
        <v>0.89237587312521771</v>
      </c>
      <c r="V80" s="44">
        <f t="shared" si="46"/>
        <v>546.35706200937545</v>
      </c>
      <c r="W80" s="45">
        <f t="shared" si="48"/>
        <v>69.701662795189463</v>
      </c>
      <c r="X80" s="41">
        <f t="shared" si="49"/>
        <v>1.798132974784878</v>
      </c>
      <c r="Y80" s="45">
        <f t="shared" si="50"/>
        <v>1166.5647425487221</v>
      </c>
      <c r="Z80" s="41">
        <f t="shared" si="51"/>
        <v>16.665210607838887</v>
      </c>
      <c r="AA80" s="41">
        <f t="shared" si="52"/>
        <v>0.99573803993127807</v>
      </c>
      <c r="AB80" s="39">
        <f>indtastning!F96/indtastning!E96</f>
        <v>1.8095238095238093</v>
      </c>
      <c r="AC80" s="40">
        <f t="shared" si="47"/>
        <v>3.3996428571428563</v>
      </c>
      <c r="AD80" s="40">
        <f t="shared" si="53"/>
        <v>144.8209208445669</v>
      </c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</row>
    <row r="81" spans="1:44" x14ac:dyDescent="0.25">
      <c r="A81" s="37">
        <v>70</v>
      </c>
      <c r="B81" s="39">
        <f t="shared" si="42"/>
        <v>44.891013151772121</v>
      </c>
      <c r="C81" s="39">
        <f>indtastning!E97</f>
        <v>1.05</v>
      </c>
      <c r="D81" s="40">
        <f t="shared" si="33"/>
        <v>0.92</v>
      </c>
      <c r="E81" s="40">
        <f t="shared" si="32"/>
        <v>0.95</v>
      </c>
      <c r="F81" s="40">
        <f t="shared" si="34"/>
        <v>0.99399999999999999</v>
      </c>
      <c r="G81" s="40">
        <f t="shared" si="35"/>
        <v>0.95</v>
      </c>
      <c r="H81" s="50">
        <f t="shared" si="29"/>
        <v>2.2527557584706579</v>
      </c>
      <c r="I81" s="39">
        <f>IF(indtastning!J$23&gt;4.9,5,IF(indtastning!J$23&lt;indtastning!G97,indtastning!J$23,indtastning!G97))</f>
        <v>1.95</v>
      </c>
      <c r="J81" s="39">
        <f t="shared" si="43"/>
        <v>1.95</v>
      </c>
      <c r="K81" s="42">
        <f t="shared" si="36"/>
        <v>2.0454140959075242</v>
      </c>
      <c r="L81" s="46">
        <f t="shared" si="31"/>
        <v>0.94663026519597226</v>
      </c>
      <c r="M81" s="42">
        <f t="shared" si="37"/>
        <v>1.9362508880445195</v>
      </c>
      <c r="N81" s="39">
        <f>indtastning!D97</f>
        <v>7.7</v>
      </c>
      <c r="O81" s="48">
        <f t="shared" si="38"/>
        <v>14.9091318379428</v>
      </c>
      <c r="P81" s="39">
        <f t="shared" si="39"/>
        <v>15.54007849823037</v>
      </c>
      <c r="Q81" s="48">
        <f t="shared" si="40"/>
        <v>13.54007849823037</v>
      </c>
      <c r="R81" s="39">
        <f t="shared" si="30"/>
        <v>20.470007560791458</v>
      </c>
      <c r="S81" s="41">
        <f t="shared" si="41"/>
        <v>16.593452391372956</v>
      </c>
      <c r="T81" s="42">
        <f t="shared" si="44"/>
        <v>2.1549938170614227</v>
      </c>
      <c r="U81" s="42">
        <f t="shared" si="45"/>
        <v>0.9048749859797951</v>
      </c>
      <c r="V81" s="51">
        <f t="shared" si="46"/>
        <v>551.30018788245889</v>
      </c>
      <c r="W81" s="48">
        <f t="shared" si="48"/>
        <v>71.651662795189466</v>
      </c>
      <c r="X81" s="39">
        <f t="shared" si="49"/>
        <v>1.8061630701703595</v>
      </c>
      <c r="Y81" s="48">
        <f t="shared" si="50"/>
        <v>1183.158194940095</v>
      </c>
      <c r="Z81" s="39">
        <f t="shared" si="51"/>
        <v>16.664199928733733</v>
      </c>
      <c r="AA81" s="39">
        <f t="shared" si="52"/>
        <v>1.0091783492280206</v>
      </c>
      <c r="AB81" s="39">
        <f>indtastning!F97/indtastning!E97</f>
        <v>1.8095238095238093</v>
      </c>
      <c r="AC81" s="40">
        <f t="shared" si="47"/>
        <v>3.4643333333333324</v>
      </c>
      <c r="AD81" s="40">
        <f t="shared" si="53"/>
        <v>148.28525417790024</v>
      </c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</row>
    <row r="82" spans="1:44" x14ac:dyDescent="0.25">
      <c r="A82" s="28">
        <v>71</v>
      </c>
      <c r="B82" s="41">
        <f t="shared" si="42"/>
        <v>45.795888137751916</v>
      </c>
      <c r="C82" s="39">
        <f>indtastning!E98</f>
        <v>1.05</v>
      </c>
      <c r="D82" s="40">
        <f t="shared" si="33"/>
        <v>0.92</v>
      </c>
      <c r="E82" s="40">
        <f t="shared" si="32"/>
        <v>0.95</v>
      </c>
      <c r="F82" s="40">
        <f t="shared" si="34"/>
        <v>0.99399999999999999</v>
      </c>
      <c r="G82" s="40">
        <f t="shared" si="35"/>
        <v>0.95</v>
      </c>
      <c r="H82" s="50">
        <f t="shared" si="29"/>
        <v>2.2895040325271663</v>
      </c>
      <c r="I82" s="39">
        <f>IF(indtastning!J$23&gt;4.9,5,IF(indtastning!J$23&lt;indtastning!G98,indtastning!J$23,indtastning!G98))</f>
        <v>1.9857499999999999</v>
      </c>
      <c r="J82" s="41">
        <f t="shared" si="43"/>
        <v>1.9857499999999999</v>
      </c>
      <c r="K82" s="40">
        <f t="shared" si="36"/>
        <v>2.0596574984646137</v>
      </c>
      <c r="L82" s="46">
        <f t="shared" si="31"/>
        <v>0.94660499821834343</v>
      </c>
      <c r="M82" s="40">
        <f t="shared" si="37"/>
        <v>1.9496820826644934</v>
      </c>
      <c r="N82" s="39">
        <f>indtastning!D98</f>
        <v>7.7</v>
      </c>
      <c r="O82" s="45">
        <f t="shared" si="38"/>
        <v>15.012552036516599</v>
      </c>
      <c r="P82" s="39">
        <f t="shared" si="39"/>
        <v>15.545981977555408</v>
      </c>
      <c r="Q82" s="48">
        <f t="shared" si="40"/>
        <v>13.545981977555408</v>
      </c>
      <c r="R82" s="39">
        <f t="shared" si="30"/>
        <v>20.476726592781397</v>
      </c>
      <c r="S82" s="41">
        <f t="shared" si="41"/>
        <v>16.668647610748604</v>
      </c>
      <c r="T82" s="40">
        <f t="shared" si="44"/>
        <v>2.1647594299673512</v>
      </c>
      <c r="U82" s="40">
        <f t="shared" si="45"/>
        <v>0.91730747191153195</v>
      </c>
      <c r="V82" s="44">
        <f t="shared" si="46"/>
        <v>556.28011461622418</v>
      </c>
      <c r="W82" s="45">
        <f t="shared" si="48"/>
        <v>73.637412795189462</v>
      </c>
      <c r="X82" s="40">
        <f t="shared" si="49"/>
        <v>1.8141549962184957</v>
      </c>
      <c r="Y82" s="45">
        <f t="shared" si="50"/>
        <v>1199.8268425508436</v>
      </c>
      <c r="Z82" s="41">
        <f t="shared" si="51"/>
        <v>16.66426170209505</v>
      </c>
      <c r="AA82" s="41">
        <f t="shared" si="52"/>
        <v>1.0227418443776315</v>
      </c>
      <c r="AB82" s="39">
        <f>indtastning!F98/indtastning!E98</f>
        <v>1.8095238095238093</v>
      </c>
      <c r="AC82" s="40">
        <f t="shared" si="47"/>
        <v>3.528571428571428</v>
      </c>
      <c r="AD82" s="40">
        <f t="shared" si="53"/>
        <v>151.81382560647168</v>
      </c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</row>
    <row r="83" spans="1:44" x14ac:dyDescent="0.25">
      <c r="A83" s="28">
        <v>72</v>
      </c>
      <c r="B83" s="41">
        <f t="shared" si="42"/>
        <v>46.713195609663451</v>
      </c>
      <c r="C83" s="39">
        <f>indtastning!E99</f>
        <v>1.05</v>
      </c>
      <c r="D83" s="40">
        <f t="shared" si="33"/>
        <v>0.92</v>
      </c>
      <c r="E83" s="40">
        <f t="shared" si="32"/>
        <v>0.95</v>
      </c>
      <c r="F83" s="40">
        <f t="shared" si="34"/>
        <v>0.99399999999999999</v>
      </c>
      <c r="G83" s="40">
        <f t="shared" si="35"/>
        <v>0.95</v>
      </c>
      <c r="H83" s="50">
        <f t="shared" si="29"/>
        <v>2.326407863879667</v>
      </c>
      <c r="I83" s="39">
        <f>IF(indtastning!J$23&gt;4.9,5,IF(indtastning!J$23&lt;indtastning!G99,indtastning!J$23,indtastning!G99))</f>
        <v>2.0215000000000001</v>
      </c>
      <c r="J83" s="41">
        <f t="shared" si="43"/>
        <v>2.0215000000000001</v>
      </c>
      <c r="K83" s="40">
        <f t="shared" si="36"/>
        <v>2.0740965975595174</v>
      </c>
      <c r="L83" s="46">
        <f t="shared" si="31"/>
        <v>0.94660654255237631</v>
      </c>
      <c r="M83" s="40">
        <f t="shared" si="37"/>
        <v>1.9633534091354621</v>
      </c>
      <c r="N83" s="39">
        <f>indtastning!D99</f>
        <v>7.7</v>
      </c>
      <c r="O83" s="45">
        <f t="shared" si="38"/>
        <v>15.117821250343058</v>
      </c>
      <c r="P83" s="39">
        <f t="shared" si="39"/>
        <v>15.551919132976012</v>
      </c>
      <c r="Q83" s="48">
        <f t="shared" si="40"/>
        <v>13.551919132976012</v>
      </c>
      <c r="R83" s="39">
        <f t="shared" si="30"/>
        <v>20.483470523209768</v>
      </c>
      <c r="S83" s="41">
        <f t="shared" si="41"/>
        <v>16.745130332029216</v>
      </c>
      <c r="T83" s="40">
        <f t="shared" si="44"/>
        <v>2.174692250912885</v>
      </c>
      <c r="U83" s="40">
        <f t="shared" si="45"/>
        <v>0.929556813913059</v>
      </c>
      <c r="V83" s="44">
        <f t="shared" si="46"/>
        <v>561.29438346754796</v>
      </c>
      <c r="W83" s="45">
        <f t="shared" si="48"/>
        <v>75.658912795189465</v>
      </c>
      <c r="X83" s="40">
        <f t="shared" si="49"/>
        <v>1.8221130916353854</v>
      </c>
      <c r="Y83" s="45">
        <f t="shared" si="50"/>
        <v>1216.5719728828728</v>
      </c>
      <c r="Z83" s="41">
        <f t="shared" si="51"/>
        <v>16.665369491546205</v>
      </c>
      <c r="AA83" s="41">
        <f t="shared" si="52"/>
        <v>1.0364234629478009</v>
      </c>
      <c r="AB83" s="39">
        <f>indtastning!F99/indtastning!E99</f>
        <v>1.8095238095238093</v>
      </c>
      <c r="AC83" s="40">
        <f t="shared" si="47"/>
        <v>3.5932619047619041</v>
      </c>
      <c r="AD83" s="40">
        <f t="shared" si="53"/>
        <v>155.40708751123358</v>
      </c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</row>
    <row r="84" spans="1:44" x14ac:dyDescent="0.25">
      <c r="A84" s="28">
        <v>73</v>
      </c>
      <c r="B84" s="41">
        <f t="shared" si="42"/>
        <v>47.642752423576511</v>
      </c>
      <c r="C84" s="39">
        <f>indtastning!E100</f>
        <v>1.05</v>
      </c>
      <c r="D84" s="40">
        <f t="shared" si="33"/>
        <v>0.92</v>
      </c>
      <c r="E84" s="40">
        <f t="shared" si="32"/>
        <v>0.95</v>
      </c>
      <c r="F84" s="40">
        <f t="shared" si="34"/>
        <v>0.99399999999999999</v>
      </c>
      <c r="G84" s="40">
        <f t="shared" si="35"/>
        <v>0.95</v>
      </c>
      <c r="H84" s="50">
        <f t="shared" si="29"/>
        <v>2.363445689685046</v>
      </c>
      <c r="I84" s="39">
        <f>IF(indtastning!J$23&gt;4.9,5,IF(indtastning!J$23&lt;indtastning!G100,indtastning!J$23,indtastning!G100))</f>
        <v>2.0572500000000002</v>
      </c>
      <c r="J84" s="41">
        <f t="shared" si="43"/>
        <v>2.0572500000000002</v>
      </c>
      <c r="K84" s="40">
        <f t="shared" si="36"/>
        <v>2.0887285103711117</v>
      </c>
      <c r="L84" s="46">
        <f t="shared" si="31"/>
        <v>0.94663423728865514</v>
      </c>
      <c r="M84" s="40">
        <f t="shared" si="37"/>
        <v>1.9772619203182262</v>
      </c>
      <c r="N84" s="39">
        <f>indtastning!D100</f>
        <v>7.7</v>
      </c>
      <c r="O84" s="45">
        <f t="shared" si="38"/>
        <v>15.224916786450342</v>
      </c>
      <c r="P84" s="39">
        <f t="shared" si="39"/>
        <v>15.557888185670411</v>
      </c>
      <c r="Q84" s="48">
        <f t="shared" si="40"/>
        <v>13.557888185670411</v>
      </c>
      <c r="R84" s="39">
        <f t="shared" si="30"/>
        <v>20.490237295598959</v>
      </c>
      <c r="S84" s="41">
        <f t="shared" si="41"/>
        <v>16.822883510423594</v>
      </c>
      <c r="T84" s="40">
        <f t="shared" si="44"/>
        <v>2.1847900662887785</v>
      </c>
      <c r="U84" s="40">
        <f t="shared" si="45"/>
        <v>0.94162365150926108</v>
      </c>
      <c r="V84" s="44">
        <f t="shared" si="46"/>
        <v>566.33907429556859</v>
      </c>
      <c r="W84" s="45">
        <f t="shared" si="48"/>
        <v>77.716162795189462</v>
      </c>
      <c r="X84" s="41">
        <f t="shared" si="49"/>
        <v>1.8300405357637362</v>
      </c>
      <c r="Y84" s="45">
        <f t="shared" si="50"/>
        <v>1233.3948563932963</v>
      </c>
      <c r="Z84" s="41">
        <f t="shared" si="51"/>
        <v>16.667498059368871</v>
      </c>
      <c r="AA84" s="41">
        <f t="shared" si="52"/>
        <v>1.0502184161512089</v>
      </c>
      <c r="AB84" s="39">
        <f>indtastning!F100/indtastning!E100</f>
        <v>1.8095238095238093</v>
      </c>
      <c r="AC84" s="40">
        <f t="shared" si="47"/>
        <v>3.6579523809523806</v>
      </c>
      <c r="AD84" s="40">
        <f t="shared" si="53"/>
        <v>159.06503989218595</v>
      </c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</row>
    <row r="85" spans="1:44" x14ac:dyDescent="0.25">
      <c r="A85" s="28">
        <v>74</v>
      </c>
      <c r="B85" s="41">
        <f t="shared" si="42"/>
        <v>48.584376075085771</v>
      </c>
      <c r="C85" s="39">
        <f>indtastning!E101</f>
        <v>1.05</v>
      </c>
      <c r="D85" s="40">
        <f t="shared" si="33"/>
        <v>0.92</v>
      </c>
      <c r="E85" s="40">
        <f t="shared" si="32"/>
        <v>0.95</v>
      </c>
      <c r="F85" s="40">
        <f t="shared" si="34"/>
        <v>0.99399999999999999</v>
      </c>
      <c r="G85" s="40">
        <f t="shared" si="35"/>
        <v>0.95</v>
      </c>
      <c r="H85" s="50">
        <f t="shared" si="29"/>
        <v>2.4005960668039625</v>
      </c>
      <c r="I85" s="39">
        <f>IF(indtastning!J$23&gt;4.9,5,IF(indtastning!J$23&lt;indtastning!G101,indtastning!J$23,indtastning!G101))</f>
        <v>2.0930000000000004</v>
      </c>
      <c r="J85" s="41">
        <f t="shared" si="43"/>
        <v>2.0930000000000004</v>
      </c>
      <c r="K85" s="40">
        <f t="shared" si="36"/>
        <v>2.1035503641448687</v>
      </c>
      <c r="L85" s="46">
        <f t="shared" si="31"/>
        <v>0.94668745148422184</v>
      </c>
      <c r="M85" s="40">
        <f t="shared" si="37"/>
        <v>1.9914047333010125</v>
      </c>
      <c r="N85" s="39">
        <f>indtastning!D101</f>
        <v>7.7</v>
      </c>
      <c r="O85" s="45">
        <f t="shared" si="38"/>
        <v>15.333816446417798</v>
      </c>
      <c r="P85" s="39">
        <f t="shared" si="39"/>
        <v>15.56388741525724</v>
      </c>
      <c r="Q85" s="48">
        <f t="shared" si="40"/>
        <v>13.56388741525724</v>
      </c>
      <c r="R85" s="39">
        <f t="shared" si="30"/>
        <v>20.497024935530185</v>
      </c>
      <c r="S85" s="41">
        <f t="shared" si="41"/>
        <v>16.901890505681443</v>
      </c>
      <c r="T85" s="40">
        <f t="shared" si="44"/>
        <v>2.1950507150235641</v>
      </c>
      <c r="U85" s="40">
        <f t="shared" si="45"/>
        <v>0.95350872108553164</v>
      </c>
      <c r="V85" s="44">
        <f t="shared" si="46"/>
        <v>571.41048750115908</v>
      </c>
      <c r="W85" s="45">
        <f t="shared" si="48"/>
        <v>79.809162795189465</v>
      </c>
      <c r="X85" s="41">
        <f t="shared" si="49"/>
        <v>1.8379403933307727</v>
      </c>
      <c r="Y85" s="45">
        <f t="shared" si="50"/>
        <v>1250.2967468989777</v>
      </c>
      <c r="Z85" s="41">
        <f t="shared" si="51"/>
        <v>16.67062329198637</v>
      </c>
      <c r="AA85" s="41">
        <f t="shared" si="52"/>
        <v>1.0641221706025261</v>
      </c>
      <c r="AB85" s="39">
        <f>indtastning!F101/indtastning!E101</f>
        <v>1.8095238095238093</v>
      </c>
      <c r="AC85" s="40">
        <f t="shared" si="47"/>
        <v>3.7226428571428571</v>
      </c>
      <c r="AD85" s="40">
        <f t="shared" si="53"/>
        <v>162.78768274932881</v>
      </c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</row>
    <row r="86" spans="1:44" x14ac:dyDescent="0.25">
      <c r="A86" s="28">
        <v>75</v>
      </c>
      <c r="B86" s="41">
        <f t="shared" si="42"/>
        <v>49.537884796171305</v>
      </c>
      <c r="C86" s="39">
        <f>indtastning!E102</f>
        <v>1.05</v>
      </c>
      <c r="D86" s="40">
        <f t="shared" si="33"/>
        <v>0.92</v>
      </c>
      <c r="E86" s="40">
        <f t="shared" si="32"/>
        <v>0.95</v>
      </c>
      <c r="F86" s="40">
        <f t="shared" si="34"/>
        <v>0.99399999999999999</v>
      </c>
      <c r="G86" s="40">
        <f t="shared" si="35"/>
        <v>0.95</v>
      </c>
      <c r="H86" s="50">
        <f t="shared" si="29"/>
        <v>2.4378376835974875</v>
      </c>
      <c r="I86" s="39">
        <f>IF(indtastning!J$23&gt;4.9,5,IF(indtastning!J$23&lt;indtastning!G102,indtastning!J$23,indtastning!G102))</f>
        <v>2.1287500000000006</v>
      </c>
      <c r="J86" s="41">
        <f t="shared" si="43"/>
        <v>2.1287500000000006</v>
      </c>
      <c r="K86" s="40">
        <f t="shared" si="36"/>
        <v>2.1185592977175114</v>
      </c>
      <c r="L86" s="46">
        <f t="shared" si="31"/>
        <v>0.94676558229965935</v>
      </c>
      <c r="M86" s="40">
        <f t="shared" si="37"/>
        <v>2.005779027139877</v>
      </c>
      <c r="N86" s="39">
        <f>indtastning!D102</f>
        <v>7.7</v>
      </c>
      <c r="O86" s="45">
        <f t="shared" si="38"/>
        <v>15.444498508977054</v>
      </c>
      <c r="P86" s="39">
        <f t="shared" si="39"/>
        <v>15.569915158319064</v>
      </c>
      <c r="Q86" s="48">
        <f t="shared" si="40"/>
        <v>13.569915158319064</v>
      </c>
      <c r="R86" s="39">
        <f t="shared" si="30"/>
        <v>20.503831548001163</v>
      </c>
      <c r="S86" s="41">
        <f t="shared" si="41"/>
        <v>16.982135067963199</v>
      </c>
      <c r="T86" s="40">
        <f t="shared" si="44"/>
        <v>2.2054720867484674</v>
      </c>
      <c r="U86" s="40">
        <f t="shared" si="45"/>
        <v>0.96521285070464058</v>
      </c>
      <c r="V86" s="44">
        <f t="shared" si="46"/>
        <v>576.50513061561753</v>
      </c>
      <c r="W86" s="45">
        <f t="shared" si="48"/>
        <v>81.937912795189462</v>
      </c>
      <c r="X86" s="41">
        <f t="shared" si="49"/>
        <v>1.8458156121979521</v>
      </c>
      <c r="Y86" s="45">
        <f t="shared" si="50"/>
        <v>1267.2788819669408</v>
      </c>
      <c r="Z86" s="41">
        <f t="shared" si="51"/>
        <v>16.674722131143959</v>
      </c>
      <c r="AA86" s="41">
        <f t="shared" si="52"/>
        <v>1.0781304315156508</v>
      </c>
      <c r="AB86" s="39">
        <f>indtastning!F102/indtastning!E102</f>
        <v>1.8095238095238093</v>
      </c>
      <c r="AC86" s="40">
        <f t="shared" si="47"/>
        <v>3.7873333333333337</v>
      </c>
      <c r="AD86" s="40">
        <f t="shared" si="53"/>
        <v>166.57501608266213</v>
      </c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</row>
    <row r="87" spans="1:44" x14ac:dyDescent="0.25">
      <c r="A87" s="28">
        <v>76</v>
      </c>
      <c r="B87" s="41">
        <f t="shared" si="42"/>
        <v>50.503097646875943</v>
      </c>
      <c r="C87" s="39">
        <f>indtastning!E103</f>
        <v>1.05</v>
      </c>
      <c r="D87" s="40">
        <f t="shared" si="33"/>
        <v>0.92</v>
      </c>
      <c r="E87" s="40">
        <f t="shared" si="32"/>
        <v>0.95</v>
      </c>
      <c r="F87" s="40">
        <f t="shared" si="34"/>
        <v>0.99399999999999999</v>
      </c>
      <c r="G87" s="40">
        <f t="shared" si="35"/>
        <v>0.95044272592925083</v>
      </c>
      <c r="H87" s="50">
        <f t="shared" si="29"/>
        <v>2.4763028582663518</v>
      </c>
      <c r="I87" s="39">
        <f>IF(indtastning!J$23&gt;4.9,5,IF(indtastning!J$23&lt;indtastning!G103,indtastning!J$23,indtastning!G103))</f>
        <v>2.1645000000000008</v>
      </c>
      <c r="J87" s="41">
        <f t="shared" si="43"/>
        <v>2.1645000000000008</v>
      </c>
      <c r="K87" s="40">
        <f t="shared" si="36"/>
        <v>2.1337524629600844</v>
      </c>
      <c r="L87" s="46">
        <f t="shared" si="31"/>
        <v>0.94686805327859902</v>
      </c>
      <c r="M87" s="40">
        <f t="shared" si="37"/>
        <v>2.0203820407814312</v>
      </c>
      <c r="N87" s="39">
        <f>indtastning!D103</f>
        <v>7.7</v>
      </c>
      <c r="O87" s="45">
        <f t="shared" si="38"/>
        <v>15.556941714017022</v>
      </c>
      <c r="P87" s="39">
        <f t="shared" si="39"/>
        <v>15.575969806917929</v>
      </c>
      <c r="Q87" s="48">
        <f t="shared" si="40"/>
        <v>13.575969806917929</v>
      </c>
      <c r="R87" s="39">
        <f t="shared" si="30"/>
        <v>20.510655314810744</v>
      </c>
      <c r="S87" s="41">
        <f t="shared" si="41"/>
        <v>17.063601324712426</v>
      </c>
      <c r="T87" s="40">
        <f t="shared" si="44"/>
        <v>2.2160521200925229</v>
      </c>
      <c r="U87" s="40">
        <f t="shared" si="45"/>
        <v>0.97673695504491576</v>
      </c>
      <c r="V87" s="44">
        <f t="shared" si="46"/>
        <v>581.61970587994676</v>
      </c>
      <c r="W87" s="45">
        <f t="shared" si="48"/>
        <v>84.102412795189466</v>
      </c>
      <c r="X87" s="41">
        <f t="shared" si="49"/>
        <v>1.8536690222428434</v>
      </c>
      <c r="Y87" s="45">
        <f t="shared" si="50"/>
        <v>1284.3424832916533</v>
      </c>
      <c r="Z87" s="41">
        <f t="shared" si="51"/>
        <v>16.679772510281211</v>
      </c>
      <c r="AA87" s="41">
        <f t="shared" si="52"/>
        <v>1.0922391272102527</v>
      </c>
      <c r="AB87" s="39">
        <f>indtastning!F103/indtastning!E103</f>
        <v>1.8095238095238093</v>
      </c>
      <c r="AC87" s="40">
        <f t="shared" si="47"/>
        <v>3.8520238095238102</v>
      </c>
      <c r="AD87" s="40">
        <f t="shared" si="53"/>
        <v>170.42703989218595</v>
      </c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</row>
    <row r="88" spans="1:44" x14ac:dyDescent="0.25">
      <c r="A88" s="37">
        <v>77</v>
      </c>
      <c r="B88" s="39">
        <f t="shared" si="42"/>
        <v>51.479834601920857</v>
      </c>
      <c r="C88" s="39">
        <f>indtastning!E104</f>
        <v>1.05</v>
      </c>
      <c r="D88" s="40">
        <f t="shared" si="33"/>
        <v>0.92</v>
      </c>
      <c r="E88" s="40">
        <f t="shared" si="32"/>
        <v>0.95</v>
      </c>
      <c r="F88" s="40">
        <f t="shared" si="34"/>
        <v>0.99399999999999999</v>
      </c>
      <c r="G88" s="40">
        <f t="shared" si="35"/>
        <v>0.9513022544496903</v>
      </c>
      <c r="H88" s="50">
        <f t="shared" si="29"/>
        <v>2.5159542477839749</v>
      </c>
      <c r="I88" s="39">
        <f>IF(indtastning!J$23&gt;4.9,5,IF(indtastning!J$23&lt;indtastning!G104,indtastning!J$23,indtastning!G104))</f>
        <v>2.2000000000000002</v>
      </c>
      <c r="J88" s="39">
        <f t="shared" si="43"/>
        <v>2.2000000000000002</v>
      </c>
      <c r="K88" s="42">
        <f t="shared" si="36"/>
        <v>2.1491270261413469</v>
      </c>
      <c r="L88" s="46">
        <f t="shared" si="31"/>
        <v>0.94699431275703028</v>
      </c>
      <c r="M88" s="42">
        <f t="shared" si="37"/>
        <v>2.0352110711482849</v>
      </c>
      <c r="N88" s="39">
        <f>indtastning!D104</f>
        <v>7.7</v>
      </c>
      <c r="O88" s="48">
        <f t="shared" si="38"/>
        <v>15.671125247841795</v>
      </c>
      <c r="P88" s="39">
        <f t="shared" si="39"/>
        <v>15.582049807109311</v>
      </c>
      <c r="Q88" s="48">
        <f t="shared" si="40"/>
        <v>13.582049807109311</v>
      </c>
      <c r="R88" s="39">
        <f t="shared" si="30"/>
        <v>20.517494491978308</v>
      </c>
      <c r="S88" s="41">
        <f t="shared" si="41"/>
        <v>17.146273768430092</v>
      </c>
      <c r="T88" s="42">
        <f t="shared" si="44"/>
        <v>2.2267888010948171</v>
      </c>
      <c r="U88" s="42">
        <f t="shared" si="45"/>
        <v>0.98796976117283952</v>
      </c>
      <c r="V88" s="51">
        <f t="shared" si="46"/>
        <v>586.751098726245</v>
      </c>
      <c r="W88" s="48">
        <f t="shared" si="48"/>
        <v>86.302412795189468</v>
      </c>
      <c r="X88" s="39">
        <f t="shared" si="49"/>
        <v>1.8615033351984378</v>
      </c>
      <c r="Y88" s="48">
        <f t="shared" si="50"/>
        <v>1301.4887570600833</v>
      </c>
      <c r="Z88" s="39">
        <f t="shared" si="51"/>
        <v>16.685753295642094</v>
      </c>
      <c r="AA88" s="39">
        <f t="shared" si="52"/>
        <v>1.1064411896819162</v>
      </c>
      <c r="AB88" s="39">
        <f>indtastning!F104/indtastning!E104</f>
        <v>1.8095238095238093</v>
      </c>
      <c r="AC88" s="40">
        <f t="shared" si="47"/>
        <v>3.9167142857142867</v>
      </c>
      <c r="AD88" s="40">
        <f t="shared" si="53"/>
        <v>174.34375417790022</v>
      </c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</row>
    <row r="89" spans="1:44" x14ac:dyDescent="0.25">
      <c r="A89" s="28">
        <v>78</v>
      </c>
      <c r="B89" s="41">
        <f t="shared" si="42"/>
        <v>52.467804363093698</v>
      </c>
      <c r="C89" s="39">
        <f>indtastning!E105</f>
        <v>1.05</v>
      </c>
      <c r="D89" s="40">
        <f t="shared" si="33"/>
        <v>0.92</v>
      </c>
      <c r="E89" s="40">
        <f t="shared" si="32"/>
        <v>0.95</v>
      </c>
      <c r="F89" s="40">
        <f t="shared" si="34"/>
        <v>0.99399999999999999</v>
      </c>
      <c r="G89" s="40">
        <f t="shared" si="35"/>
        <v>0.95217166783952245</v>
      </c>
      <c r="H89" s="50">
        <f t="shared" si="29"/>
        <v>2.5557238067661925</v>
      </c>
      <c r="I89" s="39">
        <f>IF(indtastning!J$23&gt;4.9,5,IF(indtastning!J$23&lt;indtastning!G105,indtastning!J$23,indtastning!G105))</f>
        <v>2.2286000000000001</v>
      </c>
      <c r="J89" s="41">
        <f t="shared" si="43"/>
        <v>2.2286000000000001</v>
      </c>
      <c r="K89" s="40">
        <f t="shared" si="36"/>
        <v>2.1646784020116603</v>
      </c>
      <c r="L89" s="46">
        <f t="shared" si="31"/>
        <v>0.94714383239105238</v>
      </c>
      <c r="M89" s="40">
        <f t="shared" si="37"/>
        <v>2.0502617975754629</v>
      </c>
      <c r="N89" s="39">
        <f>indtastning!D105</f>
        <v>7.7</v>
      </c>
      <c r="O89" s="45">
        <f t="shared" si="38"/>
        <v>15.787015841331066</v>
      </c>
      <c r="P89" s="39">
        <f t="shared" si="39"/>
        <v>15.588152966544669</v>
      </c>
      <c r="Q89" s="48">
        <f t="shared" si="40"/>
        <v>13.588152966544669</v>
      </c>
      <c r="R89" s="39">
        <f t="shared" si="30"/>
        <v>20.52434663223552</v>
      </c>
      <c r="S89" s="41">
        <f t="shared" si="41"/>
        <v>17.230127917230696</v>
      </c>
      <c r="T89" s="40">
        <f t="shared" si="44"/>
        <v>2.2376789502897005</v>
      </c>
      <c r="U89" s="40">
        <f t="shared" si="45"/>
        <v>0.99594269308002159</v>
      </c>
      <c r="V89" s="44">
        <f t="shared" si="46"/>
        <v>591.89492773197048</v>
      </c>
      <c r="W89" s="45">
        <f t="shared" si="48"/>
        <v>88.531012795189469</v>
      </c>
      <c r="X89" s="41">
        <f t="shared" si="49"/>
        <v>1.8693202760185659</v>
      </c>
      <c r="Y89" s="45">
        <f t="shared" si="50"/>
        <v>1318.718884977314</v>
      </c>
      <c r="Z89" s="41">
        <f t="shared" si="51"/>
        <v>16.692644113636888</v>
      </c>
      <c r="AA89" s="41">
        <f t="shared" si="52"/>
        <v>1.1206457315846767</v>
      </c>
      <c r="AB89" s="39">
        <f>indtastning!F105/indtastning!E105</f>
        <v>1.8095238095238093</v>
      </c>
      <c r="AC89" s="40">
        <f t="shared" si="47"/>
        <v>3.980952380952381</v>
      </c>
      <c r="AD89" s="40">
        <f t="shared" si="53"/>
        <v>178.3247065588526</v>
      </c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</row>
    <row r="90" spans="1:44" x14ac:dyDescent="0.25">
      <c r="A90" s="28">
        <v>79</v>
      </c>
      <c r="B90" s="41">
        <f t="shared" si="42"/>
        <v>53.463747056173723</v>
      </c>
      <c r="C90" s="39">
        <f>indtastning!E106</f>
        <v>1.05</v>
      </c>
      <c r="D90" s="40">
        <f t="shared" si="33"/>
        <v>0.92</v>
      </c>
      <c r="E90" s="40">
        <f t="shared" si="32"/>
        <v>0.95</v>
      </c>
      <c r="F90" s="40">
        <f t="shared" si="34"/>
        <v>0.99399999999999999</v>
      </c>
      <c r="G90" s="40">
        <f t="shared" si="35"/>
        <v>0.95304809740943286</v>
      </c>
      <c r="H90" s="50">
        <f t="shared" ref="H90:H153" si="54">(B90*0.0627-B90*B90*0.00022)*$K$6*(IF(Z90&lt;15.4,0.97,IF(Z90&lt;15.7,0.98,IF(Z90&lt;16.5,0.99,1))))*G90</f>
        <v>2.5954692837975517</v>
      </c>
      <c r="I90" s="39">
        <f>IF(indtastning!J$23&gt;4.9,5,IF(indtastning!J$23&lt;indtastning!G106,indtastning!J$23,indtastning!G106))</f>
        <v>2.2572000000000001</v>
      </c>
      <c r="J90" s="41">
        <f t="shared" si="43"/>
        <v>2.2572000000000001</v>
      </c>
      <c r="K90" s="40">
        <f t="shared" si="36"/>
        <v>2.180355277736068</v>
      </c>
      <c r="L90" s="46">
        <f t="shared" si="31"/>
        <v>0.94731610284092227</v>
      </c>
      <c r="M90" s="40">
        <f t="shared" si="37"/>
        <v>2.0654856645135684</v>
      </c>
      <c r="N90" s="39">
        <f>indtastning!D106</f>
        <v>7.7</v>
      </c>
      <c r="O90" s="45">
        <f t="shared" si="38"/>
        <v>15.904239616754477</v>
      </c>
      <c r="P90" s="39">
        <f t="shared" si="39"/>
        <v>15.594259026335223</v>
      </c>
      <c r="Q90" s="48">
        <f t="shared" si="40"/>
        <v>13.594259026335223</v>
      </c>
      <c r="R90" s="39">
        <f t="shared" si="30"/>
        <v>20.531189079897764</v>
      </c>
      <c r="S90" s="41">
        <f t="shared" si="41"/>
        <v>17.314892967922436</v>
      </c>
      <c r="T90" s="40">
        <f t="shared" si="44"/>
        <v>2.248687398431485</v>
      </c>
      <c r="U90" s="40">
        <f t="shared" si="45"/>
        <v>1.0037855869048107</v>
      </c>
      <c r="V90" s="44">
        <f t="shared" si="46"/>
        <v>597.00945640726229</v>
      </c>
      <c r="W90" s="45">
        <f t="shared" si="48"/>
        <v>90.788212795189466</v>
      </c>
      <c r="X90" s="40">
        <f t="shared" si="49"/>
        <v>1.8770987956013299</v>
      </c>
      <c r="Y90" s="45">
        <f t="shared" si="50"/>
        <v>1336.0337779452364</v>
      </c>
      <c r="Z90" s="41">
        <f t="shared" si="51"/>
        <v>16.700422224315453</v>
      </c>
      <c r="AA90" s="41">
        <f t="shared" si="52"/>
        <v>1.1348526599398683</v>
      </c>
      <c r="AB90" s="39">
        <f>indtastning!F106/indtastning!E106</f>
        <v>1.8095238095238093</v>
      </c>
      <c r="AC90" s="40">
        <f t="shared" si="47"/>
        <v>4.0327047619047613</v>
      </c>
      <c r="AD90" s="40">
        <f t="shared" si="53"/>
        <v>182.35741132075736</v>
      </c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</row>
    <row r="91" spans="1:44" x14ac:dyDescent="0.25">
      <c r="A91" s="28">
        <v>80</v>
      </c>
      <c r="B91" s="41">
        <f t="shared" si="42"/>
        <v>54.467532643078535</v>
      </c>
      <c r="C91" s="39">
        <f>indtastning!E107</f>
        <v>1.05</v>
      </c>
      <c r="D91" s="40">
        <f t="shared" si="33"/>
        <v>0.92</v>
      </c>
      <c r="E91" s="40">
        <f t="shared" si="32"/>
        <v>0.95</v>
      </c>
      <c r="F91" s="40">
        <f t="shared" si="34"/>
        <v>0.99399999999999999</v>
      </c>
      <c r="G91" s="40">
        <f t="shared" si="35"/>
        <v>0.95393142872590908</v>
      </c>
      <c r="H91" s="50">
        <f t="shared" si="54"/>
        <v>2.6351760770900858</v>
      </c>
      <c r="I91" s="39">
        <f>IF(indtastning!J$23&gt;4.9,5,IF(indtastning!J$23&lt;indtastning!G107,indtastning!J$23,indtastning!G107))</f>
        <v>2.2858000000000001</v>
      </c>
      <c r="J91" s="41">
        <f t="shared" si="43"/>
        <v>2.2858000000000001</v>
      </c>
      <c r="K91" s="40">
        <f t="shared" si="36"/>
        <v>2.196155606418829</v>
      </c>
      <c r="L91" s="46">
        <f t="shared" si="31"/>
        <v>0.94751055560788633</v>
      </c>
      <c r="M91" s="40">
        <f t="shared" si="37"/>
        <v>2.080880618839279</v>
      </c>
      <c r="N91" s="39">
        <f>indtastning!D107</f>
        <v>7.7</v>
      </c>
      <c r="O91" s="45">
        <f t="shared" si="38"/>
        <v>16.02278076506245</v>
      </c>
      <c r="P91" s="39">
        <f t="shared" si="39"/>
        <v>15.600367304188199</v>
      </c>
      <c r="Q91" s="48">
        <f t="shared" si="40"/>
        <v>13.600367304188199</v>
      </c>
      <c r="R91" s="39">
        <f t="shared" si="30"/>
        <v>20.53802122356392</v>
      </c>
      <c r="S91" s="41">
        <f t="shared" si="41"/>
        <v>17.400557612984912</v>
      </c>
      <c r="T91" s="40">
        <f t="shared" si="44"/>
        <v>2.2598126770110274</v>
      </c>
      <c r="U91" s="40">
        <f t="shared" si="45"/>
        <v>1.0114997686548715</v>
      </c>
      <c r="V91" s="44">
        <f t="shared" si="46"/>
        <v>602.09415803848174</v>
      </c>
      <c r="W91" s="45">
        <f t="shared" si="48"/>
        <v>93.074012795189461</v>
      </c>
      <c r="X91" s="40">
        <f t="shared" si="49"/>
        <v>1.8848425031012115</v>
      </c>
      <c r="Y91" s="45">
        <f t="shared" si="50"/>
        <v>1353.4343355582212</v>
      </c>
      <c r="Z91" s="41">
        <f t="shared" si="51"/>
        <v>16.709065871089152</v>
      </c>
      <c r="AA91" s="41">
        <f t="shared" si="52"/>
        <v>1.1490618863603637</v>
      </c>
      <c r="AB91" s="39">
        <f>indtastning!F107/indtastning!E107</f>
        <v>1.8095238095238093</v>
      </c>
      <c r="AC91" s="40">
        <f t="shared" si="47"/>
        <v>4.0844571428571426</v>
      </c>
      <c r="AD91" s="40">
        <f t="shared" si="53"/>
        <v>186.4418684636145</v>
      </c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</row>
    <row r="92" spans="1:44" x14ac:dyDescent="0.25">
      <c r="A92" s="28">
        <v>81</v>
      </c>
      <c r="B92" s="41">
        <f>B91+U91</f>
        <v>55.479032411733407</v>
      </c>
      <c r="C92" s="39">
        <f>indtastning!E108</f>
        <v>1.05</v>
      </c>
      <c r="D92" s="40">
        <f t="shared" si="33"/>
        <v>0.92</v>
      </c>
      <c r="E92" s="40">
        <f t="shared" si="32"/>
        <v>0.95</v>
      </c>
      <c r="F92" s="40">
        <f t="shared" si="34"/>
        <v>0.99399999999999999</v>
      </c>
      <c r="G92" s="40">
        <f t="shared" si="35"/>
        <v>0.95482154852232537</v>
      </c>
      <c r="H92" s="50">
        <f t="shared" si="54"/>
        <v>2.6748296995313332</v>
      </c>
      <c r="I92" s="39">
        <f>IF(indtastning!J$23&gt;4.9,5,IF(indtastning!J$23&lt;indtastning!G108,indtastning!J$23,indtastning!G108))</f>
        <v>2.3144</v>
      </c>
      <c r="J92" s="41">
        <f t="shared" si="43"/>
        <v>2.3144</v>
      </c>
      <c r="K92" s="40">
        <f t="shared" si="36"/>
        <v>2.2120773620365446</v>
      </c>
      <c r="L92" s="46">
        <f t="shared" si="31"/>
        <v>0.94772664677722884</v>
      </c>
      <c r="M92" s="40">
        <f t="shared" si="37"/>
        <v>2.0964446607347123</v>
      </c>
      <c r="N92" s="39">
        <f>indtastning!D108</f>
        <v>7.7</v>
      </c>
      <c r="O92" s="45">
        <f t="shared" si="38"/>
        <v>16.142623887657283</v>
      </c>
      <c r="P92" s="39">
        <f t="shared" si="39"/>
        <v>15.606477143737051</v>
      </c>
      <c r="Q92" s="48">
        <f t="shared" si="40"/>
        <v>13.606477143737051</v>
      </c>
      <c r="R92" s="39">
        <f t="shared" si="30"/>
        <v>20.54484248275547</v>
      </c>
      <c r="S92" s="41">
        <f t="shared" si="41"/>
        <v>17.487110854888503</v>
      </c>
      <c r="T92" s="40">
        <f t="shared" si="44"/>
        <v>2.2710533577777277</v>
      </c>
      <c r="U92" s="40">
        <f t="shared" si="45"/>
        <v>1.0190865802751055</v>
      </c>
      <c r="V92" s="44">
        <f t="shared" si="46"/>
        <v>607.14854829300498</v>
      </c>
      <c r="W92" s="45">
        <f t="shared" si="48"/>
        <v>95.388412795189467</v>
      </c>
      <c r="X92" s="40">
        <f>(W91/(B92-$B$11))</f>
        <v>1.8925547785479273</v>
      </c>
      <c r="Y92" s="45">
        <f t="shared" si="50"/>
        <v>1370.9214464131096</v>
      </c>
      <c r="Z92" s="41">
        <f t="shared" si="51"/>
        <v>16.718554224550118</v>
      </c>
      <c r="AA92" s="41">
        <f t="shared" si="52"/>
        <v>1.1632733267706032</v>
      </c>
      <c r="AB92" s="39">
        <f>indtastning!F108/indtastning!E108</f>
        <v>1.8095238095238093</v>
      </c>
      <c r="AC92" s="40">
        <f t="shared" si="47"/>
        <v>4.1362095238095238</v>
      </c>
      <c r="AD92" s="40">
        <f t="shared" si="53"/>
        <v>190.57807798742402</v>
      </c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</row>
    <row r="93" spans="1:44" x14ac:dyDescent="0.25">
      <c r="A93" s="28">
        <v>82</v>
      </c>
      <c r="B93" s="41">
        <f t="shared" si="42"/>
        <v>56.498118992008514</v>
      </c>
      <c r="C93" s="39">
        <f>indtastning!E109</f>
        <v>1.05</v>
      </c>
      <c r="D93" s="40">
        <f t="shared" si="33"/>
        <v>0.92</v>
      </c>
      <c r="E93" s="40">
        <f t="shared" si="32"/>
        <v>0.95</v>
      </c>
      <c r="F93" s="40">
        <f t="shared" si="34"/>
        <v>0.99399999999999999</v>
      </c>
      <c r="G93" s="40">
        <f t="shared" si="35"/>
        <v>0.95571834471296746</v>
      </c>
      <c r="H93" s="50">
        <f t="shared" si="54"/>
        <v>2.7144157809269389</v>
      </c>
      <c r="I93" s="39">
        <f>IF(indtastning!J$23&gt;4.9,5,IF(indtastning!J$23&lt;indtastning!G109,indtastning!J$23,indtastning!G109))</f>
        <v>2.343</v>
      </c>
      <c r="J93" s="41">
        <f t="shared" si="43"/>
        <v>2.343</v>
      </c>
      <c r="K93" s="40">
        <f t="shared" si="36"/>
        <v>2.2281185396890231</v>
      </c>
      <c r="L93" s="46">
        <f t="shared" si="31"/>
        <v>0.94796385561375296</v>
      </c>
      <c r="M93" s="40">
        <f t="shared" si="37"/>
        <v>2.1121758416480914</v>
      </c>
      <c r="N93" s="39">
        <f>indtastning!D109</f>
        <v>7.7</v>
      </c>
      <c r="O93" s="45">
        <f t="shared" si="38"/>
        <v>16.263753980690304</v>
      </c>
      <c r="P93" s="39">
        <f t="shared" si="39"/>
        <v>15.61258791358317</v>
      </c>
      <c r="Q93" s="48">
        <f t="shared" si="40"/>
        <v>13.61258791358317</v>
      </c>
      <c r="R93" s="39">
        <f t="shared" si="30"/>
        <v>20.551652306535466</v>
      </c>
      <c r="S93" s="41">
        <f t="shared" si="41"/>
        <v>17.574541994001798</v>
      </c>
      <c r="T93" s="40">
        <f t="shared" si="44"/>
        <v>2.2824080511690648</v>
      </c>
      <c r="U93" s="40">
        <f t="shared" si="45"/>
        <v>1.0265473778012217</v>
      </c>
      <c r="V93" s="44">
        <f t="shared" si="46"/>
        <v>612.1721828293721</v>
      </c>
      <c r="W93" s="45">
        <f t="shared" si="48"/>
        <v>97.73141279518947</v>
      </c>
      <c r="X93" s="41">
        <f t="shared" si="49"/>
        <v>1.9002387880385556</v>
      </c>
      <c r="Y93" s="45">
        <f t="shared" si="50"/>
        <v>1388.4959884071113</v>
      </c>
      <c r="Z93" s="41">
        <f t="shared" si="51"/>
        <v>16.72886733020616</v>
      </c>
      <c r="AA93" s="41">
        <f t="shared" si="52"/>
        <v>1.1774869011468612</v>
      </c>
      <c r="AB93" s="39">
        <f>indtastning!F109/indtastning!E109</f>
        <v>1.8095238095238093</v>
      </c>
      <c r="AC93" s="40">
        <f t="shared" si="47"/>
        <v>4.1879619047619041</v>
      </c>
      <c r="AD93" s="40">
        <f t="shared" si="53"/>
        <v>194.76603989218592</v>
      </c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</row>
    <row r="94" spans="1:44" x14ac:dyDescent="0.25">
      <c r="A94" s="28">
        <v>83</v>
      </c>
      <c r="B94" s="41">
        <f t="shared" si="42"/>
        <v>57.524666369809736</v>
      </c>
      <c r="C94" s="39">
        <f>indtastning!E110</f>
        <v>1.05</v>
      </c>
      <c r="D94" s="40">
        <f t="shared" si="33"/>
        <v>0.92</v>
      </c>
      <c r="E94" s="40">
        <f t="shared" si="32"/>
        <v>0.95</v>
      </c>
      <c r="F94" s="40">
        <f t="shared" si="34"/>
        <v>0.99399999999999999</v>
      </c>
      <c r="G94" s="40">
        <f t="shared" si="35"/>
        <v>0.95662170640543254</v>
      </c>
      <c r="H94" s="50">
        <f t="shared" si="54"/>
        <v>2.753920070064066</v>
      </c>
      <c r="I94" s="39">
        <f>IF(indtastning!J$23&gt;4.9,5,IF(indtastning!J$23&lt;indtastning!G110,indtastning!J$23,indtastning!G110))</f>
        <v>2.3715999999999999</v>
      </c>
      <c r="J94" s="41">
        <f t="shared" si="43"/>
        <v>2.3715999999999999</v>
      </c>
      <c r="K94" s="40">
        <f t="shared" si="36"/>
        <v>2.244277155821079</v>
      </c>
      <c r="L94" s="46">
        <f t="shared" si="31"/>
        <v>0.9482216832551541</v>
      </c>
      <c r="M94" s="40">
        <f t="shared" si="37"/>
        <v>2.1280722623837534</v>
      </c>
      <c r="N94" s="39">
        <f>indtastning!D110</f>
        <v>7.7</v>
      </c>
      <c r="O94" s="45">
        <f t="shared" si="38"/>
        <v>16.386156420354901</v>
      </c>
      <c r="P94" s="39">
        <f t="shared" si="39"/>
        <v>15.61869900637541</v>
      </c>
      <c r="Q94" s="48">
        <f t="shared" si="40"/>
        <v>13.61869900637541</v>
      </c>
      <c r="R94" s="39">
        <f t="shared" si="30"/>
        <v>20.558450172192018</v>
      </c>
      <c r="S94" s="41">
        <f t="shared" si="41"/>
        <v>17.662840617246378</v>
      </c>
      <c r="T94" s="40">
        <f t="shared" si="44"/>
        <v>2.2938754048371917</v>
      </c>
      <c r="U94" s="40">
        <f t="shared" si="45"/>
        <v>1.0338835295931537</v>
      </c>
      <c r="V94" s="44">
        <f t="shared" si="46"/>
        <v>617.16465505794872</v>
      </c>
      <c r="W94" s="45">
        <f t="shared" si="48"/>
        <v>100.10301279518947</v>
      </c>
      <c r="X94" s="40">
        <f t="shared" si="49"/>
        <v>1.907897497850555</v>
      </c>
      <c r="Y94" s="45">
        <f t="shared" si="50"/>
        <v>1406.1588290243576</v>
      </c>
      <c r="Z94" s="41">
        <f t="shared" si="51"/>
        <v>16.739986059813781</v>
      </c>
      <c r="AA94" s="41">
        <f t="shared" si="52"/>
        <v>1.1917025332760651</v>
      </c>
      <c r="AB94" s="39">
        <f>indtastning!F110/indtastning!E110</f>
        <v>1.8095238095238093</v>
      </c>
      <c r="AC94" s="40">
        <f t="shared" si="47"/>
        <v>4.2397142857142853</v>
      </c>
      <c r="AD94" s="40">
        <f t="shared" si="53"/>
        <v>199.0057541779002</v>
      </c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</row>
    <row r="95" spans="1:44" x14ac:dyDescent="0.25">
      <c r="A95" s="37">
        <v>84</v>
      </c>
      <c r="B95" s="39">
        <f t="shared" si="42"/>
        <v>58.558549899402891</v>
      </c>
      <c r="C95" s="39">
        <f>indtastning!E111</f>
        <v>1.03</v>
      </c>
      <c r="D95" s="40">
        <f t="shared" si="33"/>
        <v>0.89800000000000002</v>
      </c>
      <c r="E95" s="40">
        <f t="shared" si="32"/>
        <v>0.92799999999999994</v>
      </c>
      <c r="F95" s="40">
        <f t="shared" si="34"/>
        <v>0.98799999999999999</v>
      </c>
      <c r="G95" s="40">
        <f t="shared" si="35"/>
        <v>0.93827025987928336</v>
      </c>
      <c r="H95" s="50">
        <f t="shared" si="54"/>
        <v>2.7371391256477664</v>
      </c>
      <c r="I95" s="39">
        <f>IF(indtastning!J$23&gt;4.9,5,IF(indtastning!J$23&lt;indtastning!G111,indtastning!J$23,indtastning!G111))</f>
        <v>2.4</v>
      </c>
      <c r="J95" s="39">
        <f t="shared" si="43"/>
        <v>2.4</v>
      </c>
      <c r="K95" s="42">
        <f t="shared" si="36"/>
        <v>2.2605512484165269</v>
      </c>
      <c r="L95" s="46">
        <f t="shared" si="31"/>
        <v>0.94849965149534454</v>
      </c>
      <c r="M95" s="42">
        <f t="shared" si="37"/>
        <v>2.1441320713104419</v>
      </c>
      <c r="N95" s="39">
        <f>indtastning!D111</f>
        <v>6</v>
      </c>
      <c r="O95" s="48">
        <f t="shared" si="38"/>
        <v>12.864792427862652</v>
      </c>
      <c r="P95" s="39">
        <f t="shared" si="39"/>
        <v>15.624809837925904</v>
      </c>
      <c r="Q95" s="48">
        <f t="shared" si="40"/>
        <v>13.624809837925904</v>
      </c>
      <c r="R95" s="39">
        <f t="shared" ref="R95:R158" si="55">19.8+0.1*POWER(B95,0.5)</f>
        <v>20.565235583983149</v>
      </c>
      <c r="S95" s="41">
        <f t="shared" si="41"/>
        <v>15.624809837925904</v>
      </c>
      <c r="T95" s="42">
        <f t="shared" si="44"/>
        <v>2.6041349729876506</v>
      </c>
      <c r="U95" s="42">
        <f t="shared" si="45"/>
        <v>0.92161121635202636</v>
      </c>
      <c r="V95" s="51">
        <f t="shared" si="46"/>
        <v>622.12559404051058</v>
      </c>
      <c r="W95" s="48">
        <f t="shared" si="48"/>
        <v>102.50301279518948</v>
      </c>
      <c r="X95" s="42">
        <f t="shared" si="49"/>
        <v>1.915533687557091</v>
      </c>
      <c r="Y95" s="48">
        <f t="shared" si="50"/>
        <v>1421.7836388622834</v>
      </c>
      <c r="Z95" s="39">
        <f t="shared" si="51"/>
        <v>16.726866339556274</v>
      </c>
      <c r="AA95" s="39">
        <f t="shared" si="52"/>
        <v>1.2059177975904645</v>
      </c>
      <c r="AB95" s="39">
        <f>indtastning!F111/indtastning!E111</f>
        <v>1.6990291262135921</v>
      </c>
      <c r="AC95" s="40">
        <f t="shared" si="47"/>
        <v>4.2914666666666657</v>
      </c>
      <c r="AD95" s="40">
        <f t="shared" si="53"/>
        <v>203.29722084456688</v>
      </c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</row>
    <row r="96" spans="1:44" x14ac:dyDescent="0.25">
      <c r="A96" s="28">
        <v>85</v>
      </c>
      <c r="B96" s="41">
        <f t="shared" si="42"/>
        <v>59.480161115754917</v>
      </c>
      <c r="C96" s="39">
        <f>indtastning!E112</f>
        <v>1.03</v>
      </c>
      <c r="D96" s="40">
        <f t="shared" si="33"/>
        <v>0.89800000000000002</v>
      </c>
      <c r="E96" s="40">
        <f t="shared" si="32"/>
        <v>0.92799999999999994</v>
      </c>
      <c r="F96" s="40">
        <f t="shared" si="34"/>
        <v>0.98799999999999999</v>
      </c>
      <c r="G96" s="40">
        <f t="shared" si="35"/>
        <v>0.93937619333890587</v>
      </c>
      <c r="H96" s="50">
        <f t="shared" si="54"/>
        <v>2.7721652761466786</v>
      </c>
      <c r="I96" s="39">
        <f>IF(indtastning!J$23&gt;4.9,5,IF(indtastning!J$23&lt;indtastning!G112,indtastning!J$23,indtastning!G112))</f>
        <v>2.4285999999999999</v>
      </c>
      <c r="J96" s="41">
        <f t="shared" si="43"/>
        <v>2.4285999999999999</v>
      </c>
      <c r="K96" s="40">
        <f t="shared" si="36"/>
        <v>2.275058091636883</v>
      </c>
      <c r="L96" s="46">
        <f t="shared" si="31"/>
        <v>0.94817165848890694</v>
      </c>
      <c r="M96" s="40">
        <f t="shared" si="37"/>
        <v>2.1571456039059509</v>
      </c>
      <c r="N96" s="39">
        <f>indtastning!D112</f>
        <v>6</v>
      </c>
      <c r="O96" s="45">
        <f t="shared" si="38"/>
        <v>12.942873623435705</v>
      </c>
      <c r="P96" s="39">
        <f t="shared" si="39"/>
        <v>15.630220790062205</v>
      </c>
      <c r="Q96" s="48">
        <f t="shared" si="40"/>
        <v>13.630220790062205</v>
      </c>
      <c r="R96" s="39">
        <f t="shared" si="55"/>
        <v>20.571233823919535</v>
      </c>
      <c r="S96" s="41">
        <f t="shared" si="41"/>
        <v>15.630220790062205</v>
      </c>
      <c r="T96" s="40">
        <f t="shared" si="44"/>
        <v>2.6050367983437011</v>
      </c>
      <c r="U96" s="40">
        <f t="shared" si="45"/>
        <v>0.932270899798467</v>
      </c>
      <c r="V96" s="44">
        <f t="shared" si="46"/>
        <v>625.64895430299907</v>
      </c>
      <c r="W96" s="45">
        <f t="shared" si="48"/>
        <v>104.93161279518948</v>
      </c>
      <c r="X96" s="40">
        <f t="shared" si="49"/>
        <v>1.9274671351987007</v>
      </c>
      <c r="Y96" s="45">
        <f t="shared" si="50"/>
        <v>1437.4138596523455</v>
      </c>
      <c r="Z96" s="41">
        <f t="shared" si="51"/>
        <v>16.714114647120297</v>
      </c>
      <c r="AA96" s="41">
        <f t="shared" si="52"/>
        <v>1.2201350325022033</v>
      </c>
      <c r="AB96" s="39">
        <f>indtastning!F112/indtastning!E112</f>
        <v>1.6990291262135921</v>
      </c>
      <c r="AC96" s="40">
        <f t="shared" si="47"/>
        <v>4.0776699029126213</v>
      </c>
      <c r="AD96" s="40">
        <f t="shared" si="53"/>
        <v>207.3748907474795</v>
      </c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</row>
    <row r="97" spans="1:44" x14ac:dyDescent="0.25">
      <c r="A97" s="28">
        <v>86</v>
      </c>
      <c r="B97" s="41">
        <f t="shared" si="42"/>
        <v>60.412432015553385</v>
      </c>
      <c r="C97" s="39">
        <f>indtastning!E113</f>
        <v>1.03</v>
      </c>
      <c r="D97" s="40">
        <f t="shared" si="33"/>
        <v>0.89800000000000002</v>
      </c>
      <c r="E97" s="40">
        <f t="shared" si="32"/>
        <v>0.92799999999999994</v>
      </c>
      <c r="F97" s="40">
        <f t="shared" si="34"/>
        <v>0.98799999999999999</v>
      </c>
      <c r="G97" s="40">
        <f t="shared" si="35"/>
        <v>0.94049491841866406</v>
      </c>
      <c r="H97" s="50">
        <f t="shared" si="54"/>
        <v>2.8073151272659547</v>
      </c>
      <c r="I97" s="39">
        <f>IF(indtastning!J$23&gt;4.9,5,IF(indtastning!J$23&lt;indtastning!G113,indtastning!J$23,indtastning!G113))</f>
        <v>2.4571999999999998</v>
      </c>
      <c r="J97" s="41">
        <f t="shared" si="43"/>
        <v>2.4571999999999998</v>
      </c>
      <c r="K97" s="40">
        <f t="shared" si="36"/>
        <v>2.2897327261707479</v>
      </c>
      <c r="L97" s="46">
        <f t="shared" si="31"/>
        <v>0.94785286617800746</v>
      </c>
      <c r="M97" s="40">
        <f t="shared" si="37"/>
        <v>2.1703297272825259</v>
      </c>
      <c r="N97" s="39">
        <f>indtastning!D113</f>
        <v>6</v>
      </c>
      <c r="O97" s="45">
        <f t="shared" si="38"/>
        <v>13.021978363695155</v>
      </c>
      <c r="P97" s="39">
        <f t="shared" si="39"/>
        <v>15.635660313980088</v>
      </c>
      <c r="Q97" s="48">
        <f t="shared" si="40"/>
        <v>13.635660313980088</v>
      </c>
      <c r="R97" s="39">
        <f t="shared" si="55"/>
        <v>20.57725434714483</v>
      </c>
      <c r="S97" s="41">
        <f t="shared" si="41"/>
        <v>15.635660313980088</v>
      </c>
      <c r="T97" s="40">
        <f t="shared" si="44"/>
        <v>2.6059433856633478</v>
      </c>
      <c r="U97" s="40">
        <f t="shared" si="45"/>
        <v>0.94292148230016704</v>
      </c>
      <c r="V97" s="44">
        <f t="shared" si="46"/>
        <v>629.21432576224868</v>
      </c>
      <c r="W97" s="45">
        <f t="shared" si="48"/>
        <v>107.38881279518948</v>
      </c>
      <c r="X97" s="40">
        <f t="shared" si="49"/>
        <v>1.939140579839939</v>
      </c>
      <c r="Y97" s="45">
        <f t="shared" si="50"/>
        <v>1453.0495199663255</v>
      </c>
      <c r="Z97" s="41">
        <f t="shared" si="51"/>
        <v>16.701718620302593</v>
      </c>
      <c r="AA97" s="41">
        <f t="shared" si="52"/>
        <v>1.2343541700596492</v>
      </c>
      <c r="AB97" s="39">
        <f>indtastning!F113/indtastning!E113</f>
        <v>1.6990291262135921</v>
      </c>
      <c r="AC97" s="40">
        <f t="shared" si="47"/>
        <v>4.1262621359223299</v>
      </c>
      <c r="AD97" s="40">
        <f t="shared" si="53"/>
        <v>211.50115288340183</v>
      </c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</row>
    <row r="98" spans="1:44" x14ac:dyDescent="0.25">
      <c r="A98" s="28">
        <v>87</v>
      </c>
      <c r="B98" s="41">
        <f t="shared" si="42"/>
        <v>61.35535349785355</v>
      </c>
      <c r="C98" s="39">
        <f>indtastning!E114</f>
        <v>1.03</v>
      </c>
      <c r="D98" s="40">
        <f t="shared" si="33"/>
        <v>0.89800000000000002</v>
      </c>
      <c r="E98" s="40">
        <f t="shared" si="32"/>
        <v>0.92799999999999994</v>
      </c>
      <c r="F98" s="40">
        <f t="shared" si="34"/>
        <v>0.98799999999999999</v>
      </c>
      <c r="G98" s="40">
        <f t="shared" si="35"/>
        <v>0.94162642419742415</v>
      </c>
      <c r="H98" s="50">
        <f t="shared" si="54"/>
        <v>2.8425773255011588</v>
      </c>
      <c r="I98" s="39">
        <f>IF(indtastning!J$23&gt;4.9,5,IF(indtastning!J$23&lt;indtastning!G114,indtastning!J$23,indtastning!G114))</f>
        <v>2.4857999999999998</v>
      </c>
      <c r="J98" s="41">
        <f t="shared" si="43"/>
        <v>2.4857999999999998</v>
      </c>
      <c r="K98" s="40">
        <f t="shared" si="36"/>
        <v>2.3045750087625096</v>
      </c>
      <c r="L98" s="46">
        <f t="shared" si="31"/>
        <v>0.94754296550756489</v>
      </c>
      <c r="M98" s="40">
        <f t="shared" si="37"/>
        <v>2.1836838380374508</v>
      </c>
      <c r="N98" s="39">
        <f>indtastning!D114</f>
        <v>6</v>
      </c>
      <c r="O98" s="45">
        <f t="shared" si="38"/>
        <v>13.102103028224704</v>
      </c>
      <c r="P98" s="39">
        <f t="shared" si="39"/>
        <v>15.641127933063858</v>
      </c>
      <c r="Q98" s="48">
        <f t="shared" si="40"/>
        <v>13.641127933063858</v>
      </c>
      <c r="R98" s="39">
        <f t="shared" si="55"/>
        <v>20.583296581748279</v>
      </c>
      <c r="S98" s="41">
        <f t="shared" si="41"/>
        <v>15.641127933063858</v>
      </c>
      <c r="T98" s="40">
        <f t="shared" si="44"/>
        <v>2.6068546555106429</v>
      </c>
      <c r="U98" s="40">
        <f t="shared" si="45"/>
        <v>0.95356294404264352</v>
      </c>
      <c r="V98" s="44">
        <f t="shared" si="46"/>
        <v>632.82015514774207</v>
      </c>
      <c r="W98" s="45">
        <f t="shared" si="48"/>
        <v>109.87461279518948</v>
      </c>
      <c r="X98" s="40">
        <f t="shared" si="49"/>
        <v>1.9505607715219966</v>
      </c>
      <c r="Y98" s="45">
        <f t="shared" si="50"/>
        <v>1468.6906478993894</v>
      </c>
      <c r="Z98" s="41">
        <f t="shared" si="51"/>
        <v>16.689666453402154</v>
      </c>
      <c r="AA98" s="41">
        <f t="shared" si="52"/>
        <v>1.2485751453998803</v>
      </c>
      <c r="AB98" s="39">
        <f>indtastning!F114/indtastning!E114</f>
        <v>1.6990291262135921</v>
      </c>
      <c r="AC98" s="40">
        <f t="shared" si="47"/>
        <v>4.1748543689320385</v>
      </c>
      <c r="AD98" s="40">
        <f t="shared" si="53"/>
        <v>215.67600725233387</v>
      </c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</row>
    <row r="99" spans="1:44" x14ac:dyDescent="0.25">
      <c r="A99" s="28">
        <v>88</v>
      </c>
      <c r="B99" s="41">
        <f t="shared" si="42"/>
        <v>62.308916441896194</v>
      </c>
      <c r="C99" s="39">
        <f>indtastning!E115</f>
        <v>1.03</v>
      </c>
      <c r="D99" s="40">
        <f t="shared" si="33"/>
        <v>0.89800000000000002</v>
      </c>
      <c r="E99" s="40">
        <f t="shared" si="32"/>
        <v>0.92799999999999994</v>
      </c>
      <c r="F99" s="40">
        <f t="shared" si="34"/>
        <v>0.98799999999999999</v>
      </c>
      <c r="G99" s="40">
        <f t="shared" si="35"/>
        <v>0.94277069973027539</v>
      </c>
      <c r="H99" s="50">
        <f t="shared" si="54"/>
        <v>2.8779403274693074</v>
      </c>
      <c r="I99" s="39">
        <f>IF(indtastning!J$23&gt;4.9,5,IF(indtastning!J$23&lt;indtastning!G115,indtastning!J$23,indtastning!G115))</f>
        <v>2.5143999999999997</v>
      </c>
      <c r="J99" s="41">
        <f t="shared" si="43"/>
        <v>2.5143999999999997</v>
      </c>
      <c r="K99" s="40">
        <f t="shared" si="36"/>
        <v>2.3195847958446625</v>
      </c>
      <c r="L99" s="46">
        <f t="shared" si="31"/>
        <v>0.94724166133505394</v>
      </c>
      <c r="M99" s="40">
        <f t="shared" si="37"/>
        <v>2.1972073556234299</v>
      </c>
      <c r="N99" s="39">
        <f>indtastning!D115</f>
        <v>6</v>
      </c>
      <c r="O99" s="45">
        <f t="shared" si="38"/>
        <v>13.18324413374058</v>
      </c>
      <c r="P99" s="39">
        <f t="shared" si="39"/>
        <v>15.646623181530497</v>
      </c>
      <c r="Q99" s="48">
        <f t="shared" si="40"/>
        <v>13.646623181530497</v>
      </c>
      <c r="R99" s="39">
        <f t="shared" si="55"/>
        <v>20.589359971381221</v>
      </c>
      <c r="S99" s="41">
        <f t="shared" si="41"/>
        <v>15.646623181530497</v>
      </c>
      <c r="T99" s="40">
        <f t="shared" si="44"/>
        <v>2.6077705302550829</v>
      </c>
      <c r="U99" s="40">
        <f t="shared" si="45"/>
        <v>0.96419526596692162</v>
      </c>
      <c r="V99" s="44">
        <f t="shared" si="46"/>
        <v>636.46495956700221</v>
      </c>
      <c r="W99" s="45">
        <f t="shared" si="48"/>
        <v>112.38901279518947</v>
      </c>
      <c r="X99" s="40">
        <f t="shared" si="49"/>
        <v>1.961734305450699</v>
      </c>
      <c r="Y99" s="45">
        <f t="shared" si="50"/>
        <v>1484.3372710809199</v>
      </c>
      <c r="Z99" s="41">
        <f t="shared" si="51"/>
        <v>16.67794686607775</v>
      </c>
      <c r="AA99" s="41">
        <f t="shared" si="52"/>
        <v>1.2627978965751625</v>
      </c>
      <c r="AB99" s="39">
        <f>indtastning!F115/indtastning!E115</f>
        <v>1.6990291262135921</v>
      </c>
      <c r="AC99" s="40">
        <f t="shared" si="47"/>
        <v>4.2234466019417471</v>
      </c>
      <c r="AD99" s="40">
        <f t="shared" si="53"/>
        <v>219.89945385427563</v>
      </c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</row>
    <row r="100" spans="1:44" x14ac:dyDescent="0.25">
      <c r="A100" s="28">
        <v>89</v>
      </c>
      <c r="B100" s="41">
        <f t="shared" si="42"/>
        <v>63.273111707863116</v>
      </c>
      <c r="C100" s="39">
        <f>indtastning!E116</f>
        <v>1.03</v>
      </c>
      <c r="D100" s="40">
        <f t="shared" si="33"/>
        <v>0.89800000000000002</v>
      </c>
      <c r="E100" s="40">
        <f t="shared" si="32"/>
        <v>0.92799999999999994</v>
      </c>
      <c r="F100" s="40">
        <f t="shared" si="34"/>
        <v>0.98799999999999999</v>
      </c>
      <c r="G100" s="40">
        <f t="shared" si="35"/>
        <v>0.94392773404943564</v>
      </c>
      <c r="H100" s="50">
        <f t="shared" si="54"/>
        <v>2.9133923978748122</v>
      </c>
      <c r="I100" s="39">
        <f>IF(indtastning!J$23&gt;4.9,5,IF(indtastning!J$23&lt;indtastning!G116,indtastning!J$23,indtastning!G116))</f>
        <v>2.5429999999999997</v>
      </c>
      <c r="J100" s="41">
        <f t="shared" si="43"/>
        <v>2.5429999999999997</v>
      </c>
      <c r="K100" s="40">
        <f t="shared" si="36"/>
        <v>2.3347619435496973</v>
      </c>
      <c r="L100" s="46">
        <f t="shared" si="31"/>
        <v>0.94694867165194385</v>
      </c>
      <c r="M100" s="40">
        <f t="shared" si="37"/>
        <v>2.2108997210678965</v>
      </c>
      <c r="N100" s="39">
        <f>indtastning!D116</f>
        <v>6</v>
      </c>
      <c r="O100" s="45">
        <f t="shared" si="38"/>
        <v>13.265398326407379</v>
      </c>
      <c r="P100" s="39">
        <f t="shared" si="39"/>
        <v>15.652145604163168</v>
      </c>
      <c r="Q100" s="48">
        <f t="shared" si="40"/>
        <v>13.652145604163168</v>
      </c>
      <c r="R100" s="39">
        <f t="shared" si="55"/>
        <v>20.59544397482075</v>
      </c>
      <c r="S100" s="41">
        <f t="shared" si="41"/>
        <v>15.652145604163168</v>
      </c>
      <c r="T100" s="40">
        <f t="shared" si="44"/>
        <v>2.6086909340271949</v>
      </c>
      <c r="U100" s="40">
        <f t="shared" si="45"/>
        <v>0.97481842974561039</v>
      </c>
      <c r="V100" s="44">
        <f t="shared" si="46"/>
        <v>640.14732256025979</v>
      </c>
      <c r="W100" s="45">
        <f t="shared" si="48"/>
        <v>114.93201279518948</v>
      </c>
      <c r="X100" s="40">
        <f t="shared" si="49"/>
        <v>1.9726676220789632</v>
      </c>
      <c r="Y100" s="45">
        <f t="shared" si="50"/>
        <v>1499.9894166850831</v>
      </c>
      <c r="Z100" s="41">
        <f t="shared" si="51"/>
        <v>16.666549074278702</v>
      </c>
      <c r="AA100" s="41">
        <f t="shared" si="52"/>
        <v>1.2770223643909941</v>
      </c>
      <c r="AB100" s="39">
        <f>indtastning!F116/indtastning!E116</f>
        <v>1.6990291262135921</v>
      </c>
      <c r="AC100" s="40">
        <f t="shared" si="47"/>
        <v>4.2720388349514558</v>
      </c>
      <c r="AD100" s="40">
        <f t="shared" si="53"/>
        <v>224.17149268922708</v>
      </c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</row>
    <row r="101" spans="1:44" x14ac:dyDescent="0.25">
      <c r="A101" s="28">
        <v>90</v>
      </c>
      <c r="B101" s="41">
        <f t="shared" si="42"/>
        <v>64.247930137608719</v>
      </c>
      <c r="C101" s="39">
        <f>indtastning!E117</f>
        <v>1.03</v>
      </c>
      <c r="D101" s="40">
        <f t="shared" si="33"/>
        <v>0.89800000000000002</v>
      </c>
      <c r="E101" s="40">
        <f t="shared" si="32"/>
        <v>0.92799999999999994</v>
      </c>
      <c r="F101" s="40">
        <f t="shared" si="34"/>
        <v>0.98799999999999999</v>
      </c>
      <c r="G101" s="40">
        <f t="shared" si="35"/>
        <v>0.94509751616513038</v>
      </c>
      <c r="H101" s="50">
        <f t="shared" si="54"/>
        <v>2.948921607454408</v>
      </c>
      <c r="I101" s="39">
        <f>IF(indtastning!J$23&gt;4.9,5,IF(indtastning!J$23&lt;indtastning!G117,indtastning!J$23,indtastning!G117))</f>
        <v>2.5715999999999997</v>
      </c>
      <c r="J101" s="41">
        <f t="shared" si="43"/>
        <v>2.5715999999999997</v>
      </c>
      <c r="K101" s="40">
        <f t="shared" si="36"/>
        <v>2.3501063077216191</v>
      </c>
      <c r="L101" s="46">
        <f t="shared" si="31"/>
        <v>0.94666372685696765</v>
      </c>
      <c r="M101" s="40">
        <f t="shared" si="37"/>
        <v>2.2247603957778157</v>
      </c>
      <c r="N101" s="39">
        <f>indtastning!D117</f>
        <v>6</v>
      </c>
      <c r="O101" s="45">
        <f t="shared" si="38"/>
        <v>13.348562374666894</v>
      </c>
      <c r="P101" s="39">
        <f t="shared" si="39"/>
        <v>15.657694756049542</v>
      </c>
      <c r="Q101" s="48">
        <f t="shared" si="40"/>
        <v>13.657694756049542</v>
      </c>
      <c r="R101" s="39">
        <f t="shared" si="55"/>
        <v>20.601548065543227</v>
      </c>
      <c r="S101" s="41">
        <f t="shared" si="41"/>
        <v>15.657694756049542</v>
      </c>
      <c r="T101" s="40">
        <f t="shared" si="44"/>
        <v>2.6096157926749237</v>
      </c>
      <c r="U101" s="40">
        <f t="shared" si="45"/>
        <v>0.98543241775987378</v>
      </c>
      <c r="V101" s="44">
        <f t="shared" si="46"/>
        <v>643.86589041787465</v>
      </c>
      <c r="W101" s="45">
        <f t="shared" si="48"/>
        <v>117.50361279518948</v>
      </c>
      <c r="X101" s="41">
        <f t="shared" si="49"/>
        <v>1.9833670076266896</v>
      </c>
      <c r="Y101" s="45">
        <f t="shared" si="50"/>
        <v>1515.6471114411327</v>
      </c>
      <c r="Z101" s="41">
        <f t="shared" si="51"/>
        <v>16.655462763089371</v>
      </c>
      <c r="AA101" s="41">
        <f t="shared" si="52"/>
        <v>1.2912484922548295</v>
      </c>
      <c r="AB101" s="39">
        <f>indtastning!F117/indtastning!E117</f>
        <v>1.6990291262135921</v>
      </c>
      <c r="AC101" s="40">
        <f t="shared" si="47"/>
        <v>4.3206310679611644</v>
      </c>
      <c r="AD101" s="40">
        <f t="shared" si="53"/>
        <v>228.49212375718824</v>
      </c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</row>
    <row r="102" spans="1:44" x14ac:dyDescent="0.25">
      <c r="A102" s="37">
        <v>91</v>
      </c>
      <c r="B102" s="39">
        <f t="shared" si="42"/>
        <v>65.233362555368586</v>
      </c>
      <c r="C102" s="39">
        <f>indtastning!E118</f>
        <v>1.03</v>
      </c>
      <c r="D102" s="40">
        <f t="shared" si="33"/>
        <v>0.89800000000000002</v>
      </c>
      <c r="E102" s="40">
        <f t="shared" si="32"/>
        <v>0.92799999999999994</v>
      </c>
      <c r="F102" s="40">
        <f t="shared" si="34"/>
        <v>0.98799999999999999</v>
      </c>
      <c r="G102" s="40">
        <f t="shared" si="35"/>
        <v>0.9462800350664422</v>
      </c>
      <c r="H102" s="50">
        <f t="shared" si="54"/>
        <v>2.9845158309012509</v>
      </c>
      <c r="I102" s="39">
        <f>IF(indtastning!J$23&gt;4.9,5,IF(indtastning!J$23&lt;indtastning!G118,indtastning!J$23,indtastning!G118))</f>
        <v>2.6</v>
      </c>
      <c r="J102" s="39">
        <f t="shared" si="43"/>
        <v>2.6</v>
      </c>
      <c r="K102" s="42">
        <f t="shared" si="36"/>
        <v>2.365617743927098</v>
      </c>
      <c r="L102" s="46">
        <f t="shared" ref="L102:L165" si="56">IF(Z101&lt;16,0.93,IF(Z101&lt;18,0.93+(Z101-16)*0.025,IF(Z101&lt;19,0.98+(Z101-18)*0.01,IF(Z101&lt;19.5,0.995,1))))</f>
        <v>0.94638656907723429</v>
      </c>
      <c r="M102" s="42">
        <f t="shared" si="37"/>
        <v>2.2387888604233939</v>
      </c>
      <c r="N102" s="39">
        <f>indtastning!D118</f>
        <v>6</v>
      </c>
      <c r="O102" s="48">
        <f t="shared" si="38"/>
        <v>13.432733162540362</v>
      </c>
      <c r="P102" s="39">
        <f t="shared" si="39"/>
        <v>15.663270202325091</v>
      </c>
      <c r="Q102" s="48">
        <f t="shared" si="40"/>
        <v>13.663270202325091</v>
      </c>
      <c r="R102" s="39">
        <f t="shared" si="55"/>
        <v>20.607671731307768</v>
      </c>
      <c r="S102" s="41">
        <f t="shared" si="41"/>
        <v>15.663270202325091</v>
      </c>
      <c r="T102" s="42">
        <f t="shared" si="44"/>
        <v>2.6105450337208485</v>
      </c>
      <c r="U102" s="42">
        <f t="shared" si="45"/>
        <v>0.9959606007233599</v>
      </c>
      <c r="V102" s="51">
        <f t="shared" si="46"/>
        <v>647.61936874031414</v>
      </c>
      <c r="W102" s="48">
        <f t="shared" si="48"/>
        <v>120.10361279518948</v>
      </c>
      <c r="X102" s="39">
        <f t="shared" si="49"/>
        <v>1.9938385949858783</v>
      </c>
      <c r="Y102" s="48">
        <f t="shared" si="50"/>
        <v>1531.3103816434577</v>
      </c>
      <c r="Z102" s="39">
        <f t="shared" si="51"/>
        <v>16.644678061341931</v>
      </c>
      <c r="AA102" s="39">
        <f t="shared" si="52"/>
        <v>1.3054740521216248</v>
      </c>
      <c r="AB102" s="39">
        <f>indtastning!F118/indtastning!E118</f>
        <v>1.6990291262135921</v>
      </c>
      <c r="AC102" s="40">
        <f t="shared" si="47"/>
        <v>4.369223300970873</v>
      </c>
      <c r="AD102" s="40">
        <f t="shared" si="53"/>
        <v>232.86134705815911</v>
      </c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</row>
    <row r="103" spans="1:44" x14ac:dyDescent="0.25">
      <c r="A103" s="28">
        <v>92</v>
      </c>
      <c r="B103" s="41">
        <f t="shared" si="42"/>
        <v>66.229323156091951</v>
      </c>
      <c r="C103" s="39">
        <f>indtastning!E119</f>
        <v>1.03</v>
      </c>
      <c r="D103" s="40">
        <f t="shared" si="33"/>
        <v>0.89800000000000002</v>
      </c>
      <c r="E103" s="40">
        <f t="shared" si="32"/>
        <v>0.92799999999999994</v>
      </c>
      <c r="F103" s="40">
        <f t="shared" si="34"/>
        <v>0.98799999999999999</v>
      </c>
      <c r="G103" s="40">
        <f t="shared" si="35"/>
        <v>0.94747518778731032</v>
      </c>
      <c r="H103" s="50">
        <f t="shared" si="54"/>
        <v>3.0201600157210819</v>
      </c>
      <c r="I103" s="39">
        <f>IF(indtastning!J$23&gt;4.9,5,IF(indtastning!J$23&lt;indtastning!G119,indtastning!J$23,indtastning!G119))</f>
        <v>2.6214500000000003</v>
      </c>
      <c r="J103" s="41">
        <f t="shared" si="43"/>
        <v>2.6214500000000003</v>
      </c>
      <c r="K103" s="40">
        <f t="shared" si="36"/>
        <v>2.3812949015310769</v>
      </c>
      <c r="L103" s="46">
        <f t="shared" si="56"/>
        <v>0.94611695153354836</v>
      </c>
      <c r="M103" s="40">
        <f t="shared" si="37"/>
        <v>2.2529834729389635</v>
      </c>
      <c r="N103" s="39">
        <f>indtastning!D119</f>
        <v>6</v>
      </c>
      <c r="O103" s="45">
        <f t="shared" si="38"/>
        <v>13.517900837633782</v>
      </c>
      <c r="P103" s="39">
        <f t="shared" si="39"/>
        <v>15.668871088385181</v>
      </c>
      <c r="Q103" s="48">
        <f t="shared" si="40"/>
        <v>13.668871088385181</v>
      </c>
      <c r="R103" s="39">
        <f t="shared" si="55"/>
        <v>20.613814003050404</v>
      </c>
      <c r="S103" s="41">
        <f t="shared" si="41"/>
        <v>15.668871088385181</v>
      </c>
      <c r="T103" s="40">
        <f t="shared" si="44"/>
        <v>2.6114785147308637</v>
      </c>
      <c r="U103" s="40">
        <f t="shared" si="45"/>
        <v>1.0038183294302019</v>
      </c>
      <c r="V103" s="44">
        <f t="shared" si="46"/>
        <v>651.40568647926034</v>
      </c>
      <c r="W103" s="45">
        <f t="shared" si="48"/>
        <v>122.72506279518947</v>
      </c>
      <c r="X103" s="41">
        <f t="shared" si="49"/>
        <v>2.004087589682392</v>
      </c>
      <c r="Y103" s="45">
        <f t="shared" si="50"/>
        <v>1546.979252731843</v>
      </c>
      <c r="Z103" s="41">
        <f t="shared" si="51"/>
        <v>16.634185513245622</v>
      </c>
      <c r="AA103" s="41">
        <f t="shared" si="52"/>
        <v>1.3196243311310696</v>
      </c>
      <c r="AB103" s="39">
        <f>indtastning!F119/indtastning!E119</f>
        <v>1.6990291262135921</v>
      </c>
      <c r="AC103" s="40">
        <f t="shared" si="47"/>
        <v>4.4174757281553401</v>
      </c>
      <c r="AD103" s="40">
        <f t="shared" si="53"/>
        <v>237.27882278631446</v>
      </c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</row>
    <row r="104" spans="1:44" x14ac:dyDescent="0.25">
      <c r="A104" s="28">
        <v>93</v>
      </c>
      <c r="B104" s="41">
        <f t="shared" si="42"/>
        <v>67.233141485522154</v>
      </c>
      <c r="C104" s="39">
        <f>indtastning!E120</f>
        <v>1.03</v>
      </c>
      <c r="D104" s="40">
        <f t="shared" si="33"/>
        <v>0.89800000000000002</v>
      </c>
      <c r="E104" s="40">
        <f t="shared" si="32"/>
        <v>0.92799999999999994</v>
      </c>
      <c r="F104" s="40">
        <f t="shared" si="34"/>
        <v>0.98799999999999999</v>
      </c>
      <c r="G104" s="40">
        <f t="shared" si="35"/>
        <v>0.94867976978262658</v>
      </c>
      <c r="H104" s="50">
        <f t="shared" si="54"/>
        <v>3.0557478204514892</v>
      </c>
      <c r="I104" s="39">
        <f>IF(indtastning!J$23&gt;4.9,5,IF(indtastning!J$23&lt;indtastning!G120,indtastning!J$23,indtastning!G120))</f>
        <v>2.6429000000000005</v>
      </c>
      <c r="J104" s="41">
        <f t="shared" si="43"/>
        <v>2.6429000000000005</v>
      </c>
      <c r="K104" s="40">
        <f t="shared" si="36"/>
        <v>2.3970957456054416</v>
      </c>
      <c r="L104" s="46">
        <f t="shared" si="56"/>
        <v>0.94585463783114065</v>
      </c>
      <c r="M104" s="40">
        <f t="shared" si="37"/>
        <v>2.2673041283062032</v>
      </c>
      <c r="N104" s="39">
        <f>indtastning!D120</f>
        <v>6</v>
      </c>
      <c r="O104" s="45">
        <f t="shared" si="38"/>
        <v>13.603824769837219</v>
      </c>
      <c r="P104" s="39">
        <f t="shared" si="39"/>
        <v>15.67448217549914</v>
      </c>
      <c r="Q104" s="48">
        <f t="shared" si="40"/>
        <v>13.67448217549914</v>
      </c>
      <c r="R104" s="39">
        <f t="shared" si="55"/>
        <v>20.619958178723294</v>
      </c>
      <c r="S104" s="41">
        <f t="shared" si="41"/>
        <v>15.67448217549914</v>
      </c>
      <c r="T104" s="40">
        <f t="shared" si="44"/>
        <v>2.6124136959165232</v>
      </c>
      <c r="U104" s="40">
        <f t="shared" si="45"/>
        <v>1.0116697842042133</v>
      </c>
      <c r="V104" s="44">
        <f t="shared" si="46"/>
        <v>655.19506973679745</v>
      </c>
      <c r="W104" s="45">
        <f t="shared" si="48"/>
        <v>125.36796279518947</v>
      </c>
      <c r="X104" s="41">
        <f t="shared" si="49"/>
        <v>2.0140938051642916</v>
      </c>
      <c r="Y104" s="45">
        <f t="shared" si="50"/>
        <v>1562.6537349073421</v>
      </c>
      <c r="Z104" s="41">
        <f t="shared" si="51"/>
        <v>16.623975903269596</v>
      </c>
      <c r="AA104" s="41">
        <f t="shared" si="52"/>
        <v>1.3337017318637179</v>
      </c>
      <c r="AB104" s="39">
        <f>indtastning!F120/indtastning!E120</f>
        <v>1.6990291262135921</v>
      </c>
      <c r="AC104" s="40">
        <f t="shared" si="47"/>
        <v>4.453919902912622</v>
      </c>
      <c r="AD104" s="40">
        <f t="shared" si="53"/>
        <v>241.73274268922708</v>
      </c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</row>
    <row r="105" spans="1:44" x14ac:dyDescent="0.25">
      <c r="A105" s="28">
        <v>94</v>
      </c>
      <c r="B105" s="41">
        <f t="shared" si="42"/>
        <v>68.24481126972637</v>
      </c>
      <c r="C105" s="39">
        <f>indtastning!E121</f>
        <v>1.03</v>
      </c>
      <c r="D105" s="40">
        <f t="shared" si="33"/>
        <v>0.89800000000000002</v>
      </c>
      <c r="E105" s="40">
        <f t="shared" si="32"/>
        <v>0.92799999999999994</v>
      </c>
      <c r="F105" s="40">
        <f t="shared" si="34"/>
        <v>0.98799999999999999</v>
      </c>
      <c r="G105" s="40">
        <f t="shared" si="35"/>
        <v>0.94989377352367155</v>
      </c>
      <c r="H105" s="50">
        <f t="shared" si="54"/>
        <v>3.0912694456536753</v>
      </c>
      <c r="I105" s="39">
        <f>IF(indtastning!J$23&gt;4.9,5,IF(indtastning!J$23&lt;indtastning!G121,indtastning!J$23,indtastning!G121))</f>
        <v>2.6643500000000007</v>
      </c>
      <c r="J105" s="41">
        <f t="shared" si="43"/>
        <v>2.6643500000000007</v>
      </c>
      <c r="K105" s="40">
        <f t="shared" si="36"/>
        <v>2.4130201773938413</v>
      </c>
      <c r="L105" s="46">
        <f t="shared" si="56"/>
        <v>0.94559939758173994</v>
      </c>
      <c r="M105" s="40">
        <f t="shared" si="37"/>
        <v>2.2817504260961998</v>
      </c>
      <c r="N105" s="39">
        <f>indtastning!D121</f>
        <v>6</v>
      </c>
      <c r="O105" s="45">
        <f t="shared" si="38"/>
        <v>13.690502556577199</v>
      </c>
      <c r="P105" s="39">
        <f t="shared" si="39"/>
        <v>15.680103347083667</v>
      </c>
      <c r="Q105" s="48">
        <f t="shared" si="40"/>
        <v>13.680103347083667</v>
      </c>
      <c r="R105" s="39">
        <f t="shared" si="55"/>
        <v>20.626104177871813</v>
      </c>
      <c r="S105" s="41">
        <f t="shared" si="41"/>
        <v>15.780928404391688</v>
      </c>
      <c r="T105" s="40">
        <f t="shared" si="44"/>
        <v>2.6301547340652811</v>
      </c>
      <c r="U105" s="40">
        <f t="shared" si="45"/>
        <v>1.01300123733856</v>
      </c>
      <c r="V105" s="44">
        <f t="shared" si="46"/>
        <v>658.98735393325921</v>
      </c>
      <c r="W105" s="45">
        <f t="shared" si="48"/>
        <v>128.03231279518948</v>
      </c>
      <c r="X105" s="41">
        <f t="shared" si="49"/>
        <v>2.0238654412764223</v>
      </c>
      <c r="Y105" s="45">
        <f t="shared" si="50"/>
        <v>1578.4346633117339</v>
      </c>
      <c r="Z105" s="41">
        <f t="shared" si="51"/>
        <v>16.615101719070882</v>
      </c>
      <c r="AA105" s="41">
        <f t="shared" si="52"/>
        <v>1.3477085557388366</v>
      </c>
      <c r="AB105" s="39">
        <f>indtastning!F121/indtastning!E121</f>
        <v>1.6990291262135921</v>
      </c>
      <c r="AC105" s="40">
        <f t="shared" si="47"/>
        <v>4.4903640776699039</v>
      </c>
      <c r="AD105" s="40">
        <f t="shared" si="53"/>
        <v>246.22310676689699</v>
      </c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</row>
    <row r="106" spans="1:44" x14ac:dyDescent="0.25">
      <c r="A106" s="28">
        <v>95</v>
      </c>
      <c r="B106" s="41">
        <f t="shared" si="42"/>
        <v>69.257812507064926</v>
      </c>
      <c r="C106" s="39">
        <f>indtastning!E122</f>
        <v>1.03</v>
      </c>
      <c r="D106" s="40">
        <f t="shared" si="33"/>
        <v>0.89800000000000002</v>
      </c>
      <c r="E106" s="40">
        <f t="shared" si="32"/>
        <v>0.92799999999999994</v>
      </c>
      <c r="F106" s="40">
        <f t="shared" si="34"/>
        <v>0.98799999999999999</v>
      </c>
      <c r="G106" s="40">
        <f t="shared" si="35"/>
        <v>0.95110937500847781</v>
      </c>
      <c r="H106" s="50">
        <f t="shared" si="54"/>
        <v>3.1264896228845487</v>
      </c>
      <c r="I106" s="39">
        <f>IF(indtastning!J$23&gt;4.9,5,IF(indtastning!J$23&lt;indtastning!G122,indtastning!J$23,indtastning!G122))</f>
        <v>2.6858000000000009</v>
      </c>
      <c r="J106" s="41">
        <f t="shared" si="43"/>
        <v>2.6858000000000009</v>
      </c>
      <c r="K106" s="40">
        <f t="shared" si="36"/>
        <v>2.4289655672408372</v>
      </c>
      <c r="L106" s="46">
        <f t="shared" si="56"/>
        <v>0.94537754297677212</v>
      </c>
      <c r="M106" s="40">
        <f t="shared" si="37"/>
        <v>2.2962894999333243</v>
      </c>
      <c r="N106" s="39">
        <f>indtastning!D122</f>
        <v>6</v>
      </c>
      <c r="O106" s="45">
        <f t="shared" si="38"/>
        <v>13.777736999599945</v>
      </c>
      <c r="P106" s="39">
        <f t="shared" si="39"/>
        <v>15.685698616909145</v>
      </c>
      <c r="Q106" s="48">
        <f t="shared" si="40"/>
        <v>13.685698616909145</v>
      </c>
      <c r="R106" s="39">
        <f t="shared" si="55"/>
        <v>20.632212788336403</v>
      </c>
      <c r="S106" s="41">
        <f t="shared" si="41"/>
        <v>15.843971951598846</v>
      </c>
      <c r="T106" s="40">
        <f t="shared" si="44"/>
        <v>2.6406619919331411</v>
      </c>
      <c r="U106" s="40">
        <f t="shared" si="45"/>
        <v>1.0170934440699908</v>
      </c>
      <c r="V106" s="44">
        <f t="shared" si="46"/>
        <v>662.71381586384132</v>
      </c>
      <c r="W106" s="45">
        <f t="shared" si="48"/>
        <v>130.71811279518948</v>
      </c>
      <c r="X106" s="41">
        <f t="shared" si="49"/>
        <v>2.0336207326266633</v>
      </c>
      <c r="Y106" s="45">
        <f t="shared" si="50"/>
        <v>1594.2786352633327</v>
      </c>
      <c r="Z106" s="41">
        <f t="shared" si="51"/>
        <v>16.607069117326382</v>
      </c>
      <c r="AA106" s="41">
        <f t="shared" si="52"/>
        <v>1.3616470082832237</v>
      </c>
      <c r="AB106" s="39">
        <f>indtastning!F122/indtastning!E122</f>
        <v>1.6990291262135921</v>
      </c>
      <c r="AC106" s="40">
        <f t="shared" si="47"/>
        <v>4.5268082524271858</v>
      </c>
      <c r="AD106" s="40">
        <f t="shared" si="53"/>
        <v>250.74991501932416</v>
      </c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</row>
    <row r="107" spans="1:44" x14ac:dyDescent="0.25">
      <c r="A107" s="28">
        <v>96</v>
      </c>
      <c r="B107" s="41">
        <f t="shared" si="42"/>
        <v>70.274905951134912</v>
      </c>
      <c r="C107" s="39">
        <f>indtastning!E123</f>
        <v>1.03</v>
      </c>
      <c r="D107" s="40">
        <f t="shared" si="33"/>
        <v>0.89800000000000002</v>
      </c>
      <c r="E107" s="40">
        <f t="shared" si="32"/>
        <v>0.92799999999999994</v>
      </c>
      <c r="F107" s="40">
        <f t="shared" si="34"/>
        <v>0.98799999999999999</v>
      </c>
      <c r="G107" s="40">
        <f t="shared" si="35"/>
        <v>0.95232988714136191</v>
      </c>
      <c r="H107" s="50">
        <f t="shared" si="54"/>
        <v>3.1614998795661902</v>
      </c>
      <c r="I107" s="39">
        <f>IF(indtastning!J$23&gt;4.9,5,IF(indtastning!J$23&lt;indtastning!G123,indtastning!J$23,indtastning!G123))</f>
        <v>2.707250000000001</v>
      </c>
      <c r="J107" s="41">
        <f t="shared" si="43"/>
        <v>2.707250000000001</v>
      </c>
      <c r="K107" s="40">
        <f t="shared" si="36"/>
        <v>2.4449753714530496</v>
      </c>
      <c r="L107" s="46">
        <f t="shared" si="56"/>
        <v>0.94517672793315965</v>
      </c>
      <c r="M107" s="40">
        <f t="shared" si="37"/>
        <v>2.3109338214671551</v>
      </c>
      <c r="N107" s="39">
        <f>indtastning!D123</f>
        <v>6</v>
      </c>
      <c r="O107" s="45">
        <f t="shared" si="38"/>
        <v>13.865602928802931</v>
      </c>
      <c r="P107" s="39">
        <f t="shared" si="39"/>
        <v>15.691283651143337</v>
      </c>
      <c r="Q107" s="48">
        <f t="shared" si="40"/>
        <v>13.691283651143337</v>
      </c>
      <c r="R107" s="39">
        <f t="shared" si="55"/>
        <v>20.638301293993603</v>
      </c>
      <c r="S107" s="41">
        <f t="shared" si="41"/>
        <v>15.907434092144863</v>
      </c>
      <c r="T107" s="40">
        <f t="shared" si="44"/>
        <v>2.651239015357477</v>
      </c>
      <c r="U107" s="40">
        <f t="shared" si="45"/>
        <v>1.0211263429355395</v>
      </c>
      <c r="V107" s="44">
        <f t="shared" si="46"/>
        <v>666.40527032432203</v>
      </c>
      <c r="W107" s="45">
        <f t="shared" si="48"/>
        <v>133.42536279518947</v>
      </c>
      <c r="X107" s="41">
        <f t="shared" si="49"/>
        <v>2.043271668035497</v>
      </c>
      <c r="Y107" s="45">
        <f t="shared" si="50"/>
        <v>1610.1860693554777</v>
      </c>
      <c r="Z107" s="41">
        <f t="shared" si="51"/>
        <v>16.599856385108016</v>
      </c>
      <c r="AA107" s="41">
        <f t="shared" si="52"/>
        <v>1.3755192040741182</v>
      </c>
      <c r="AB107" s="39">
        <f>indtastning!F123/indtastning!E123</f>
        <v>1.6990291262135921</v>
      </c>
      <c r="AC107" s="40">
        <f t="shared" si="47"/>
        <v>4.5632524271844677</v>
      </c>
      <c r="AD107" s="40">
        <f t="shared" si="53"/>
        <v>255.31316744650863</v>
      </c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</row>
    <row r="108" spans="1:44" x14ac:dyDescent="0.25">
      <c r="A108" s="28">
        <v>97</v>
      </c>
      <c r="B108" s="41">
        <f t="shared" si="42"/>
        <v>71.296032294070457</v>
      </c>
      <c r="C108" s="39">
        <f>indtastning!E124</f>
        <v>1.03</v>
      </c>
      <c r="D108" s="40">
        <f t="shared" si="33"/>
        <v>0.89800000000000002</v>
      </c>
      <c r="E108" s="40">
        <f t="shared" si="32"/>
        <v>0.92799999999999994</v>
      </c>
      <c r="F108" s="40">
        <f t="shared" si="34"/>
        <v>0.98799999999999999</v>
      </c>
      <c r="G108" s="40">
        <f t="shared" si="35"/>
        <v>0.9535552387528845</v>
      </c>
      <c r="H108" s="50">
        <f t="shared" si="54"/>
        <v>3.1962922689275737</v>
      </c>
      <c r="I108" s="39">
        <f>IF(indtastning!J$23&gt;4.9,5,IF(indtastning!J$23&lt;indtastning!G124,indtastning!J$23,indtastning!G124))</f>
        <v>2.7287000000000012</v>
      </c>
      <c r="J108" s="41">
        <f t="shared" si="43"/>
        <v>2.7287000000000012</v>
      </c>
      <c r="K108" s="40">
        <f t="shared" si="36"/>
        <v>2.461048656480739</v>
      </c>
      <c r="L108" s="46">
        <f t="shared" si="56"/>
        <v>0.94499640962770048</v>
      </c>
      <c r="M108" s="40">
        <f t="shared" si="37"/>
        <v>2.3256821442933742</v>
      </c>
      <c r="N108" s="39">
        <f>indtastning!D124</f>
        <v>6</v>
      </c>
      <c r="O108" s="45">
        <f t="shared" si="38"/>
        <v>13.954092865760245</v>
      </c>
      <c r="P108" s="39">
        <f t="shared" si="39"/>
        <v>15.696858398598151</v>
      </c>
      <c r="Q108" s="48">
        <f t="shared" si="40"/>
        <v>13.696858398598151</v>
      </c>
      <c r="R108" s="39">
        <f t="shared" si="55"/>
        <v>20.644369778557184</v>
      </c>
      <c r="S108" s="41">
        <f t="shared" si="41"/>
        <v>15.971309739782841</v>
      </c>
      <c r="T108" s="40">
        <f t="shared" si="44"/>
        <v>2.6618849566304736</v>
      </c>
      <c r="U108" s="40">
        <f t="shared" si="45"/>
        <v>1.0251006502753239</v>
      </c>
      <c r="V108" s="44">
        <f t="shared" si="46"/>
        <v>670.06218859866453</v>
      </c>
      <c r="W108" s="45">
        <f t="shared" si="48"/>
        <v>136.15406279518947</v>
      </c>
      <c r="X108" s="41">
        <f t="shared" si="49"/>
        <v>2.0528231968301514</v>
      </c>
      <c r="Y108" s="45">
        <f t="shared" si="50"/>
        <v>1626.1573790952605</v>
      </c>
      <c r="Z108" s="41">
        <f t="shared" si="51"/>
        <v>16.593442643829189</v>
      </c>
      <c r="AA108" s="41">
        <f t="shared" si="52"/>
        <v>1.3893271713794844</v>
      </c>
      <c r="AB108" s="39">
        <f>indtastning!F124/indtastning!E124</f>
        <v>1.6990291262135921</v>
      </c>
      <c r="AC108" s="40">
        <f t="shared" si="47"/>
        <v>4.5996966019417487</v>
      </c>
      <c r="AD108" s="40">
        <f t="shared" si="53"/>
        <v>259.91286404845039</v>
      </c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</row>
    <row r="109" spans="1:44" x14ac:dyDescent="0.25">
      <c r="A109" s="37">
        <v>98</v>
      </c>
      <c r="B109" s="39">
        <f t="shared" si="42"/>
        <v>72.321132944345777</v>
      </c>
      <c r="C109" s="39">
        <f>indtastning!E125</f>
        <v>1.03</v>
      </c>
      <c r="D109" s="40">
        <f t="shared" si="33"/>
        <v>0.89800000000000002</v>
      </c>
      <c r="E109" s="40">
        <f t="shared" si="32"/>
        <v>0.92799999999999994</v>
      </c>
      <c r="F109" s="40">
        <f t="shared" si="34"/>
        <v>0.98799999999999999</v>
      </c>
      <c r="G109" s="40">
        <f t="shared" si="35"/>
        <v>0.95478535953321486</v>
      </c>
      <c r="H109" s="50">
        <f t="shared" si="54"/>
        <v>3.230858894562274</v>
      </c>
      <c r="I109" s="39">
        <f>IF(indtastning!J$23&gt;4.9,5,IF(indtastning!J$23&lt;indtastning!G125,indtastning!J$23,indtastning!G125))</f>
        <v>2.75</v>
      </c>
      <c r="J109" s="39">
        <f t="shared" si="43"/>
        <v>2.75</v>
      </c>
      <c r="K109" s="42">
        <f t="shared" si="36"/>
        <v>2.4771845000498871</v>
      </c>
      <c r="L109" s="46">
        <f t="shared" si="56"/>
        <v>0.94483606609572979</v>
      </c>
      <c r="M109" s="42">
        <f t="shared" si="37"/>
        <v>2.3405332580204523</v>
      </c>
      <c r="N109" s="39">
        <f>indtastning!D125</f>
        <v>6</v>
      </c>
      <c r="O109" s="48">
        <f t="shared" si="38"/>
        <v>14.043199548122715</v>
      </c>
      <c r="P109" s="39">
        <f t="shared" si="39"/>
        <v>15.702422810707299</v>
      </c>
      <c r="Q109" s="48">
        <f t="shared" si="40"/>
        <v>13.702422810707299</v>
      </c>
      <c r="R109" s="39">
        <f t="shared" si="55"/>
        <v>20.650418326145115</v>
      </c>
      <c r="S109" s="41">
        <f t="shared" si="41"/>
        <v>16.035593960356429</v>
      </c>
      <c r="T109" s="42">
        <f t="shared" si="44"/>
        <v>2.6725989933927381</v>
      </c>
      <c r="U109" s="42">
        <f t="shared" si="45"/>
        <v>1.0289609502954296</v>
      </c>
      <c r="V109" s="51">
        <f t="shared" si="46"/>
        <v>673.68503004434467</v>
      </c>
      <c r="W109" s="48">
        <f t="shared" si="48"/>
        <v>138.90406279518947</v>
      </c>
      <c r="X109" s="39">
        <f t="shared" si="49"/>
        <v>2.0622800113103792</v>
      </c>
      <c r="Y109" s="48">
        <f t="shared" si="50"/>
        <v>1642.1929730556169</v>
      </c>
      <c r="Z109" s="39">
        <f t="shared" si="51"/>
        <v>16.587807808642594</v>
      </c>
      <c r="AA109" s="39">
        <f t="shared" si="52"/>
        <v>1.4030713413655502</v>
      </c>
      <c r="AB109" s="39">
        <f>indtastning!F125/indtastning!E125</f>
        <v>1.6990291262135921</v>
      </c>
      <c r="AC109" s="40">
        <f t="shared" si="47"/>
        <v>4.6361407766990306</v>
      </c>
      <c r="AD109" s="40">
        <f t="shared" si="53"/>
        <v>264.54900482514944</v>
      </c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</row>
    <row r="110" spans="1:44" x14ac:dyDescent="0.25">
      <c r="A110" s="28">
        <v>99</v>
      </c>
      <c r="B110" s="41">
        <f t="shared" si="42"/>
        <v>73.350093894641205</v>
      </c>
      <c r="C110" s="39">
        <f>indtastning!E126</f>
        <v>1.03</v>
      </c>
      <c r="D110" s="40">
        <f t="shared" si="33"/>
        <v>0.89800000000000002</v>
      </c>
      <c r="E110" s="40">
        <f t="shared" si="32"/>
        <v>0.92799999999999994</v>
      </c>
      <c r="F110" s="40">
        <f t="shared" si="34"/>
        <v>0.98799999999999999</v>
      </c>
      <c r="G110" s="40">
        <f t="shared" si="35"/>
        <v>0.95602011267356946</v>
      </c>
      <c r="H110" s="50">
        <f t="shared" si="54"/>
        <v>3.2651900477389342</v>
      </c>
      <c r="I110" s="39">
        <f>IF(indtastning!J$23&gt;4.9,5,IF(indtastning!J$23&lt;indtastning!G126,indtastning!J$23,indtastning!G126))</f>
        <v>2.7714500000000002</v>
      </c>
      <c r="J110" s="41">
        <f t="shared" si="43"/>
        <v>2.7714500000000002</v>
      </c>
      <c r="K110" s="40">
        <f t="shared" si="36"/>
        <v>2.4933811076008339</v>
      </c>
      <c r="L110" s="46">
        <f t="shared" si="56"/>
        <v>0.94469519521606493</v>
      </c>
      <c r="M110" s="40">
        <f t="shared" si="37"/>
        <v>2.355485152193018</v>
      </c>
      <c r="N110" s="39">
        <f>indtastning!D126</f>
        <v>6</v>
      </c>
      <c r="O110" s="45">
        <f t="shared" si="38"/>
        <v>14.132910913158108</v>
      </c>
      <c r="P110" s="39">
        <f t="shared" si="39"/>
        <v>15.707976539369065</v>
      </c>
      <c r="Q110" s="48">
        <f t="shared" si="40"/>
        <v>13.707976539369065</v>
      </c>
      <c r="R110" s="39">
        <f t="shared" si="55"/>
        <v>20.656446693581341</v>
      </c>
      <c r="S110" s="41">
        <f t="shared" si="41"/>
        <v>16.100278357566967</v>
      </c>
      <c r="T110" s="40">
        <f t="shared" si="44"/>
        <v>2.6833797262611614</v>
      </c>
      <c r="U110" s="40">
        <f t="shared" si="45"/>
        <v>1.0328206525811201</v>
      </c>
      <c r="V110" s="44">
        <f t="shared" si="46"/>
        <v>677.27367570344654</v>
      </c>
      <c r="W110" s="45">
        <f t="shared" si="48"/>
        <v>141.67551279518946</v>
      </c>
      <c r="X110" s="41">
        <f t="shared" si="49"/>
        <v>2.0716460593396873</v>
      </c>
      <c r="Y110" s="45">
        <f t="shared" si="50"/>
        <v>1658.293251413184</v>
      </c>
      <c r="Z110" s="41">
        <f t="shared" si="51"/>
        <v>16.582932514131841</v>
      </c>
      <c r="AA110" s="41">
        <f t="shared" si="52"/>
        <v>1.4167551279518946</v>
      </c>
      <c r="AB110" s="39">
        <f>indtastning!F126/indtastning!E126</f>
        <v>1.6990291262135921</v>
      </c>
      <c r="AC110" s="40">
        <f t="shared" si="47"/>
        <v>4.6723300970873787</v>
      </c>
      <c r="AD110" s="40">
        <f t="shared" si="53"/>
        <v>269.22133492223679</v>
      </c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</row>
    <row r="111" spans="1:44" x14ac:dyDescent="0.25">
      <c r="A111" s="28">
        <v>100</v>
      </c>
      <c r="B111" s="41">
        <f t="shared" si="42"/>
        <v>74.382914547222327</v>
      </c>
      <c r="C111" s="39">
        <f>indtastning!E127</f>
        <v>1.03</v>
      </c>
      <c r="D111" s="40">
        <f t="shared" si="33"/>
        <v>0.89800000000000002</v>
      </c>
      <c r="E111" s="40">
        <f t="shared" si="32"/>
        <v>0.92799999999999994</v>
      </c>
      <c r="F111" s="40">
        <f t="shared" si="34"/>
        <v>0.98799999999999999</v>
      </c>
      <c r="G111" s="40">
        <f t="shared" si="35"/>
        <v>0.95725949745666672</v>
      </c>
      <c r="H111" s="50">
        <f t="shared" si="54"/>
        <v>3.2992798504439471</v>
      </c>
      <c r="I111" s="39">
        <f>IF(indtastning!J$23&gt;4.9,5,IF(indtastning!J$23&lt;indtastning!G127,indtastning!J$23,indtastning!G127))</f>
        <v>2.7929000000000004</v>
      </c>
      <c r="J111" s="41">
        <f t="shared" si="43"/>
        <v>2.7929000000000004</v>
      </c>
      <c r="K111" s="40">
        <f t="shared" si="36"/>
        <v>2.5096384697247958</v>
      </c>
      <c r="L111" s="46">
        <f t="shared" si="56"/>
        <v>0.94457331285329604</v>
      </c>
      <c r="M111" s="40">
        <f t="shared" si="37"/>
        <v>2.3705375234120267</v>
      </c>
      <c r="N111" s="39">
        <f>indtastning!D127</f>
        <v>6</v>
      </c>
      <c r="O111" s="45">
        <f t="shared" si="38"/>
        <v>14.223225140472159</v>
      </c>
      <c r="P111" s="39">
        <f t="shared" si="39"/>
        <v>15.713519848917034</v>
      </c>
      <c r="Q111" s="48">
        <f t="shared" si="40"/>
        <v>13.713519848917034</v>
      </c>
      <c r="R111" s="39">
        <f t="shared" si="55"/>
        <v>20.662455300564744</v>
      </c>
      <c r="S111" s="41">
        <f t="shared" si="41"/>
        <v>16.165361914761018</v>
      </c>
      <c r="T111" s="40">
        <f t="shared" si="44"/>
        <v>2.6942269857935028</v>
      </c>
      <c r="U111" s="40">
        <f t="shared" si="45"/>
        <v>1.0366238682660349</v>
      </c>
      <c r="V111" s="44">
        <f t="shared" si="46"/>
        <v>680.82914547222333</v>
      </c>
      <c r="W111" s="45">
        <f t="shared" si="48"/>
        <v>144.46841279518947</v>
      </c>
      <c r="X111" s="41">
        <f t="shared" si="49"/>
        <v>2.0809260845747617</v>
      </c>
      <c r="Y111" s="45">
        <f t="shared" si="50"/>
        <v>1674.4586133279449</v>
      </c>
      <c r="Z111" s="41">
        <f t="shared" si="51"/>
        <v>16.578798151761831</v>
      </c>
      <c r="AA111" s="41">
        <f t="shared" si="52"/>
        <v>1.4303803247048461</v>
      </c>
      <c r="AB111" s="39">
        <f>indtastning!F127/indtastning!E127</f>
        <v>1.6990291262135921</v>
      </c>
      <c r="AC111" s="40">
        <f t="shared" si="47"/>
        <v>4.7087742718446606</v>
      </c>
      <c r="AD111" s="40">
        <f t="shared" si="53"/>
        <v>273.93010919408147</v>
      </c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</row>
    <row r="112" spans="1:44" x14ac:dyDescent="0.25">
      <c r="A112" s="28">
        <v>101</v>
      </c>
      <c r="B112" s="41">
        <f t="shared" ref="B112:B137" si="57">B111+U111</f>
        <v>75.419538415488361</v>
      </c>
      <c r="C112" s="39">
        <f>indtastning!E128</f>
        <v>1.03</v>
      </c>
      <c r="D112" s="40">
        <f t="shared" si="33"/>
        <v>0.89800000000000002</v>
      </c>
      <c r="E112" s="40">
        <f t="shared" si="32"/>
        <v>0.92799999999999994</v>
      </c>
      <c r="F112" s="40">
        <f t="shared" si="34"/>
        <v>0.98799999999999999</v>
      </c>
      <c r="G112" s="40">
        <f t="shared" si="35"/>
        <v>0.95850344609858595</v>
      </c>
      <c r="H112" s="50">
        <f t="shared" si="54"/>
        <v>3.3331205566514495</v>
      </c>
      <c r="I112" s="39">
        <f>IF(indtastning!J$23&gt;4.9,5,IF(indtastning!J$23&lt;indtastning!G128,indtastning!J$23,indtastning!G128))</f>
        <v>2.8143500000000006</v>
      </c>
      <c r="J112" s="41">
        <f t="shared" ref="J112:J137" si="58">IF(I112&lt;H112,I112,H112)</f>
        <v>2.8143500000000006</v>
      </c>
      <c r="K112" s="40">
        <f t="shared" si="36"/>
        <v>2.5259556972808355</v>
      </c>
      <c r="L112" s="46">
        <f t="shared" si="56"/>
        <v>0.94446995379404586</v>
      </c>
      <c r="M112" s="40">
        <f t="shared" ref="M112:M137" si="59">K112*L112</f>
        <v>2.3856892606966373</v>
      </c>
      <c r="N112" s="39">
        <f>indtastning!D128</f>
        <v>6</v>
      </c>
      <c r="O112" s="45">
        <f t="shared" ref="O112:O137" si="60">M112*N112</f>
        <v>14.314135564179825</v>
      </c>
      <c r="P112" s="39">
        <f t="shared" si="39"/>
        <v>15.71905269805111</v>
      </c>
      <c r="Q112" s="48">
        <f t="shared" si="40"/>
        <v>13.71905269805111</v>
      </c>
      <c r="R112" s="39">
        <f t="shared" si="55"/>
        <v>20.668444232035014</v>
      </c>
      <c r="S112" s="41">
        <f t="shared" si="41"/>
        <v>16.230840117135934</v>
      </c>
      <c r="T112" s="40">
        <f t="shared" ref="T112:T137" si="61">S112/N112</f>
        <v>2.7051400195226556</v>
      </c>
      <c r="U112" s="40">
        <f t="shared" ref="U112:U137" si="62">J112/T112</f>
        <v>1.0403712856595926</v>
      </c>
      <c r="V112" s="44">
        <f t="shared" ref="V112:V137" si="63">(B112-$B$11)/(A112-$A$11)*1000</f>
        <v>684.35186549988475</v>
      </c>
      <c r="W112" s="45">
        <f t="shared" ref="W112:W137" si="64">W111+J112</f>
        <v>147.28276279518946</v>
      </c>
      <c r="X112" s="41">
        <f t="shared" ref="X112:X137" si="65">(W111/(B112-$B$11))</f>
        <v>2.0901240967028341</v>
      </c>
      <c r="Y112" s="45">
        <f t="shared" ref="Y112:Y137" si="66">S112+Y111</f>
        <v>1690.689453445081</v>
      </c>
      <c r="Z112" s="41">
        <f t="shared" ref="Z112:Z137" si="67">Y112/(A113-$A$11)</f>
        <v>16.575386798481187</v>
      </c>
      <c r="AA112" s="41">
        <f t="shared" ref="AA112:AA137" si="68">W112/A113</f>
        <v>1.4439486548547986</v>
      </c>
      <c r="AB112" s="39">
        <f>indtastning!F128/indtastning!E128</f>
        <v>1.6990291262135921</v>
      </c>
      <c r="AC112" s="40">
        <f t="shared" si="47"/>
        <v>4.7452184466019425</v>
      </c>
      <c r="AD112" s="40">
        <f t="shared" si="53"/>
        <v>278.67532764068341</v>
      </c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</row>
    <row r="113" spans="1:44" x14ac:dyDescent="0.25">
      <c r="A113" s="28">
        <v>102</v>
      </c>
      <c r="B113" s="41">
        <f t="shared" si="57"/>
        <v>76.45990970114795</v>
      </c>
      <c r="C113" s="39">
        <f>indtastning!E129</f>
        <v>1.03</v>
      </c>
      <c r="D113" s="40">
        <f t="shared" si="33"/>
        <v>0.89800000000000002</v>
      </c>
      <c r="E113" s="40">
        <f t="shared" si="32"/>
        <v>0.92799999999999994</v>
      </c>
      <c r="F113" s="40">
        <f t="shared" si="34"/>
        <v>0.98799999999999999</v>
      </c>
      <c r="G113" s="40">
        <f t="shared" si="35"/>
        <v>0.95975189164137753</v>
      </c>
      <c r="H113" s="50">
        <f t="shared" si="54"/>
        <v>3.3667044702297133</v>
      </c>
      <c r="I113" s="39">
        <f>IF(indtastning!J$23&gt;4.9,5,IF(indtastning!J$23&lt;indtastning!G129,indtastning!J$23,indtastning!G129))</f>
        <v>2.8358000000000008</v>
      </c>
      <c r="J113" s="41">
        <f t="shared" si="58"/>
        <v>2.8358000000000008</v>
      </c>
      <c r="K113" s="40">
        <f t="shared" si="36"/>
        <v>2.5423319119625143</v>
      </c>
      <c r="L113" s="46">
        <f t="shared" si="56"/>
        <v>0.94438466996202974</v>
      </c>
      <c r="M113" s="40">
        <f t="shared" si="59"/>
        <v>2.4009392836126553</v>
      </c>
      <c r="N113" s="39">
        <f>indtastning!D129</f>
        <v>6</v>
      </c>
      <c r="O113" s="45">
        <f t="shared" si="60"/>
        <v>14.405635701675932</v>
      </c>
      <c r="P113" s="39">
        <f t="shared" si="39"/>
        <v>15.724575047792943</v>
      </c>
      <c r="Q113" s="48">
        <f t="shared" si="40"/>
        <v>13.724575047792943</v>
      </c>
      <c r="R113" s="39">
        <f t="shared" si="55"/>
        <v>20.674413573208628</v>
      </c>
      <c r="S113" s="41">
        <f t="shared" si="41"/>
        <v>16.296708578669882</v>
      </c>
      <c r="T113" s="40">
        <f t="shared" si="61"/>
        <v>2.7161180964449803</v>
      </c>
      <c r="U113" s="40">
        <f t="shared" si="62"/>
        <v>1.0440635860832661</v>
      </c>
      <c r="V113" s="44">
        <f t="shared" si="63"/>
        <v>687.84225197203875</v>
      </c>
      <c r="W113" s="45">
        <f t="shared" si="64"/>
        <v>150.11856279518946</v>
      </c>
      <c r="X113" s="41">
        <f t="shared" si="65"/>
        <v>2.0992439047107214</v>
      </c>
      <c r="Y113" s="45">
        <f t="shared" si="66"/>
        <v>1706.9861620237509</v>
      </c>
      <c r="Z113" s="41">
        <f t="shared" si="67"/>
        <v>16.572681184696609</v>
      </c>
      <c r="AA113" s="41">
        <f t="shared" si="68"/>
        <v>1.4574617747105774</v>
      </c>
      <c r="AB113" s="39">
        <f>indtastning!F129/indtastning!E129</f>
        <v>1.6990291262135921</v>
      </c>
      <c r="AC113" s="40">
        <f t="shared" si="47"/>
        <v>4.7816626213592244</v>
      </c>
      <c r="AD113" s="40">
        <f t="shared" si="53"/>
        <v>283.45699026204261</v>
      </c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</row>
    <row r="114" spans="1:44" x14ac:dyDescent="0.25">
      <c r="A114" s="28">
        <v>103</v>
      </c>
      <c r="B114" s="41">
        <f t="shared" si="57"/>
        <v>77.503973287231219</v>
      </c>
      <c r="C114" s="39">
        <f>indtastning!E130</f>
        <v>1.03</v>
      </c>
      <c r="D114" s="40">
        <f t="shared" si="33"/>
        <v>0.89800000000000002</v>
      </c>
      <c r="E114" s="40">
        <f t="shared" si="32"/>
        <v>0.92799999999999994</v>
      </c>
      <c r="F114" s="40">
        <f t="shared" si="34"/>
        <v>0.98799999999999999</v>
      </c>
      <c r="G114" s="40">
        <f t="shared" si="35"/>
        <v>0.96100476794467737</v>
      </c>
      <c r="H114" s="50">
        <f t="shared" si="54"/>
        <v>3.4000239448066147</v>
      </c>
      <c r="I114" s="39">
        <f>IF(indtastning!J$23&gt;4.9,5,IF(indtastning!J$23&lt;indtastning!G130,indtastning!J$23,indtastning!G130))</f>
        <v>2.857250000000001</v>
      </c>
      <c r="J114" s="41">
        <f t="shared" si="58"/>
        <v>2.857250000000001</v>
      </c>
      <c r="K114" s="40">
        <f t="shared" si="36"/>
        <v>2.5587662461878988</v>
      </c>
      <c r="L114" s="46">
        <f t="shared" si="56"/>
        <v>0.94431702961741526</v>
      </c>
      <c r="M114" s="40">
        <f t="shared" si="59"/>
        <v>2.4162865410854604</v>
      </c>
      <c r="N114" s="39">
        <f>indtastning!D130</f>
        <v>6</v>
      </c>
      <c r="O114" s="45">
        <f t="shared" si="60"/>
        <v>14.497719246512762</v>
      </c>
      <c r="P114" s="39">
        <f t="shared" si="39"/>
        <v>15.730086861415817</v>
      </c>
      <c r="Q114" s="48">
        <f t="shared" si="40"/>
        <v>13.730086861415817</v>
      </c>
      <c r="R114" s="39">
        <f t="shared" si="55"/>
        <v>20.680363409548757</v>
      </c>
      <c r="S114" s="41">
        <f t="shared" si="41"/>
        <v>16.362963037058393</v>
      </c>
      <c r="T114" s="40">
        <f t="shared" si="61"/>
        <v>2.7271605061763986</v>
      </c>
      <c r="U114" s="40">
        <f t="shared" si="62"/>
        <v>1.0477014438750412</v>
      </c>
      <c r="V114" s="44">
        <f t="shared" si="63"/>
        <v>691.30071152651669</v>
      </c>
      <c r="W114" s="45">
        <f t="shared" si="64"/>
        <v>152.97581279518946</v>
      </c>
      <c r="X114" s="41">
        <f t="shared" si="65"/>
        <v>2.1082891286083574</v>
      </c>
      <c r="Y114" s="45">
        <f t="shared" si="66"/>
        <v>1723.3491250608092</v>
      </c>
      <c r="Z114" s="41">
        <f t="shared" si="67"/>
        <v>16.570664664046241</v>
      </c>
      <c r="AA114" s="41">
        <f t="shared" si="68"/>
        <v>1.4709212768768216</v>
      </c>
      <c r="AB114" s="39">
        <f>indtastning!F130/indtastning!E130</f>
        <v>1.6990291262135921</v>
      </c>
      <c r="AC114" s="40">
        <f t="shared" si="47"/>
        <v>4.8181067961165063</v>
      </c>
      <c r="AD114" s="40">
        <f t="shared" si="53"/>
        <v>288.27509705815913</v>
      </c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</row>
    <row r="115" spans="1:44" x14ac:dyDescent="0.25">
      <c r="A115" s="28">
        <v>104</v>
      </c>
      <c r="B115" s="41">
        <f t="shared" si="57"/>
        <v>78.55167473110626</v>
      </c>
      <c r="C115" s="39">
        <f>indtastning!E131</f>
        <v>1.03</v>
      </c>
      <c r="D115" s="40">
        <f t="shared" si="33"/>
        <v>0.89800000000000002</v>
      </c>
      <c r="E115" s="40">
        <f t="shared" si="32"/>
        <v>0.92799999999999994</v>
      </c>
      <c r="F115" s="40">
        <f t="shared" si="34"/>
        <v>0.98799999999999999</v>
      </c>
      <c r="G115" s="40">
        <f t="shared" si="35"/>
        <v>0.96226200967732745</v>
      </c>
      <c r="H115" s="50">
        <f t="shared" si="54"/>
        <v>3.4330713836280999</v>
      </c>
      <c r="I115" s="39">
        <f>IF(indtastning!J$23&gt;4.9,5,IF(indtastning!J$23&lt;indtastning!G131,indtastning!J$23,indtastning!G131))</f>
        <v>2.8787000000000011</v>
      </c>
      <c r="J115" s="41">
        <f t="shared" si="58"/>
        <v>2.8787000000000011</v>
      </c>
      <c r="K115" s="40">
        <f t="shared" si="36"/>
        <v>2.575257842989636</v>
      </c>
      <c r="L115" s="46">
        <f t="shared" si="56"/>
        <v>0.94426661660115607</v>
      </c>
      <c r="M115" s="40">
        <f t="shared" si="59"/>
        <v>2.4317300102754147</v>
      </c>
      <c r="N115" s="39">
        <f>indtastning!D131</f>
        <v>6</v>
      </c>
      <c r="O115" s="45">
        <f t="shared" si="60"/>
        <v>14.590380061652489</v>
      </c>
      <c r="P115" s="39">
        <f t="shared" si="39"/>
        <v>15.735588104376708</v>
      </c>
      <c r="Q115" s="48">
        <f t="shared" si="40"/>
        <v>13.735588104376708</v>
      </c>
      <c r="R115" s="39">
        <f t="shared" si="55"/>
        <v>20.686293826736406</v>
      </c>
      <c r="S115" s="41">
        <f t="shared" si="41"/>
        <v>16.429599348917289</v>
      </c>
      <c r="T115" s="40">
        <f t="shared" si="61"/>
        <v>2.7382665581528816</v>
      </c>
      <c r="U115" s="40">
        <f t="shared" si="62"/>
        <v>1.0512855263958854</v>
      </c>
      <c r="V115" s="44">
        <f t="shared" si="63"/>
        <v>694.72764164525256</v>
      </c>
      <c r="W115" s="45">
        <f t="shared" si="64"/>
        <v>155.85451279518946</v>
      </c>
      <c r="X115" s="41">
        <f t="shared" si="65"/>
        <v>2.1172632103616738</v>
      </c>
      <c r="Y115" s="45">
        <f t="shared" si="66"/>
        <v>1739.7787244097265</v>
      </c>
      <c r="Z115" s="41">
        <f t="shared" si="67"/>
        <v>16.569321184854537</v>
      </c>
      <c r="AA115" s="41">
        <f t="shared" si="68"/>
        <v>1.4843286932875186</v>
      </c>
      <c r="AB115" s="39">
        <f>indtastning!F131/indtastning!E131</f>
        <v>1.6990291262135921</v>
      </c>
      <c r="AC115" s="40">
        <f t="shared" si="47"/>
        <v>4.8545509708737882</v>
      </c>
      <c r="AD115" s="40">
        <f t="shared" si="53"/>
        <v>293.12964802903292</v>
      </c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</row>
    <row r="116" spans="1:44" x14ac:dyDescent="0.25">
      <c r="A116" s="37">
        <v>105</v>
      </c>
      <c r="B116" s="39">
        <f t="shared" si="57"/>
        <v>79.602960257502147</v>
      </c>
      <c r="C116" s="39">
        <f>indtastning!E132</f>
        <v>1.03</v>
      </c>
      <c r="D116" s="40">
        <f t="shared" si="33"/>
        <v>0.89800000000000002</v>
      </c>
      <c r="E116" s="40">
        <f t="shared" si="32"/>
        <v>0.92799999999999994</v>
      </c>
      <c r="F116" s="40">
        <f t="shared" si="34"/>
        <v>0.98799999999999999</v>
      </c>
      <c r="G116" s="40">
        <f t="shared" si="35"/>
        <v>0.96352355230900255</v>
      </c>
      <c r="H116" s="50">
        <f t="shared" si="54"/>
        <v>3.4658392394099393</v>
      </c>
      <c r="I116" s="39">
        <f>IF(indtastning!J$23&gt;4.9,5,IF(indtastning!J$23&lt;indtastning!G132,indtastning!J$23,indtastning!G132))</f>
        <v>2.9</v>
      </c>
      <c r="J116" s="39">
        <f t="shared" si="58"/>
        <v>2.9</v>
      </c>
      <c r="K116" s="42">
        <f t="shared" si="36"/>
        <v>2.5918058559051262</v>
      </c>
      <c r="L116" s="46">
        <f t="shared" si="56"/>
        <v>0.94423302962136346</v>
      </c>
      <c r="M116" s="42">
        <f t="shared" si="59"/>
        <v>2.4472686955116885</v>
      </c>
      <c r="N116" s="39">
        <f>indtastning!D132</f>
        <v>6</v>
      </c>
      <c r="O116" s="48">
        <f t="shared" si="60"/>
        <v>14.683612173070131</v>
      </c>
      <c r="P116" s="39">
        <f t="shared" si="39"/>
        <v>15.741078744250473</v>
      </c>
      <c r="Q116" s="48">
        <f t="shared" si="40"/>
        <v>13.741078744250473</v>
      </c>
      <c r="R116" s="39">
        <f t="shared" si="55"/>
        <v>20.69220491064274</v>
      </c>
      <c r="S116" s="41">
        <f t="shared" si="41"/>
        <v>16.49661348523491</v>
      </c>
      <c r="T116" s="42">
        <f t="shared" si="61"/>
        <v>2.7494355808724849</v>
      </c>
      <c r="U116" s="42">
        <f t="shared" si="62"/>
        <v>1.0547619373863402</v>
      </c>
      <c r="V116" s="51">
        <f t="shared" si="63"/>
        <v>698.12343102382999</v>
      </c>
      <c r="W116" s="48">
        <f t="shared" si="64"/>
        <v>158.75451279518947</v>
      </c>
      <c r="X116" s="39">
        <f t="shared" si="65"/>
        <v>2.1261694240955107</v>
      </c>
      <c r="Y116" s="48">
        <f t="shared" si="66"/>
        <v>1756.2753378949615</v>
      </c>
      <c r="Z116" s="39">
        <f t="shared" si="67"/>
        <v>16.568635263160015</v>
      </c>
      <c r="AA116" s="39">
        <f t="shared" si="68"/>
        <v>1.4976840829734857</v>
      </c>
      <c r="AB116" s="39">
        <f>indtastning!F132/indtastning!E132</f>
        <v>1.6990291262135921</v>
      </c>
      <c r="AC116" s="40">
        <f t="shared" si="47"/>
        <v>4.8909951456310701</v>
      </c>
      <c r="AD116" s="40">
        <f t="shared" si="53"/>
        <v>298.02064317466397</v>
      </c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</row>
    <row r="117" spans="1:44" x14ac:dyDescent="0.25">
      <c r="A117" s="28">
        <v>106</v>
      </c>
      <c r="B117" s="41">
        <f t="shared" si="57"/>
        <v>80.657722194888493</v>
      </c>
      <c r="C117" s="39">
        <f>indtastning!E133</f>
        <v>1.03</v>
      </c>
      <c r="D117" s="40">
        <f t="shared" si="33"/>
        <v>0.89800000000000002</v>
      </c>
      <c r="E117" s="40">
        <f t="shared" si="32"/>
        <v>0.92799999999999994</v>
      </c>
      <c r="F117" s="40">
        <f t="shared" si="34"/>
        <v>0.98799999999999999</v>
      </c>
      <c r="G117" s="40">
        <f t="shared" si="35"/>
        <v>0.96478926663386622</v>
      </c>
      <c r="H117" s="50">
        <f t="shared" si="54"/>
        <v>3.4983183445488528</v>
      </c>
      <c r="I117" s="39">
        <f>IF(indtastning!J$23&gt;4.9,5,IF(indtastning!J$23&lt;indtastning!G133,indtastning!J$23,indtastning!G133))</f>
        <v>2.9142999999999999</v>
      </c>
      <c r="J117" s="41">
        <f t="shared" si="58"/>
        <v>2.9142999999999999</v>
      </c>
      <c r="K117" s="40">
        <f t="shared" si="36"/>
        <v>2.6084085901047267</v>
      </c>
      <c r="L117" s="46">
        <f t="shared" si="56"/>
        <v>0.94421588157900038</v>
      </c>
      <c r="M117" s="40">
        <f t="shared" si="59"/>
        <v>2.4629008164239719</v>
      </c>
      <c r="N117" s="39">
        <f>indtastning!D133</f>
        <v>6</v>
      </c>
      <c r="O117" s="45">
        <f t="shared" si="60"/>
        <v>14.777404898543832</v>
      </c>
      <c r="P117" s="39">
        <f t="shared" si="39"/>
        <v>15.746558467975984</v>
      </c>
      <c r="Q117" s="48">
        <f t="shared" si="40"/>
        <v>13.746558467975984</v>
      </c>
      <c r="R117" s="39">
        <f t="shared" si="55"/>
        <v>20.698096443567664</v>
      </c>
      <c r="S117" s="41">
        <f t="shared" si="41"/>
        <v>16.563998032669833</v>
      </c>
      <c r="T117" s="40">
        <f t="shared" si="61"/>
        <v>2.7606663387783055</v>
      </c>
      <c r="U117" s="40">
        <f t="shared" si="62"/>
        <v>1.0556509343645211</v>
      </c>
      <c r="V117" s="44">
        <f t="shared" si="63"/>
        <v>701.48794523479705</v>
      </c>
      <c r="W117" s="45">
        <f t="shared" si="64"/>
        <v>161.66881279518947</v>
      </c>
      <c r="X117" s="41">
        <f t="shared" si="65"/>
        <v>2.1350104348153711</v>
      </c>
      <c r="Y117" s="45">
        <f t="shared" si="66"/>
        <v>1772.8393359276313</v>
      </c>
      <c r="Z117" s="41">
        <f t="shared" si="67"/>
        <v>16.568591924557303</v>
      </c>
      <c r="AA117" s="41">
        <f t="shared" si="68"/>
        <v>1.5109234840671912</v>
      </c>
      <c r="AB117" s="39">
        <f>indtastning!F133/indtastning!E133</f>
        <v>1.6990291262135921</v>
      </c>
      <c r="AC117" s="40">
        <f t="shared" si="47"/>
        <v>4.9271844660194173</v>
      </c>
      <c r="AD117" s="40">
        <f t="shared" si="53"/>
        <v>302.94782764068339</v>
      </c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</row>
    <row r="118" spans="1:44" x14ac:dyDescent="0.25">
      <c r="A118" s="28">
        <v>107</v>
      </c>
      <c r="B118" s="41">
        <f t="shared" si="57"/>
        <v>81.713373129253014</v>
      </c>
      <c r="C118" s="39">
        <f>indtastning!E134</f>
        <v>1.03</v>
      </c>
      <c r="D118" s="40">
        <f t="shared" si="33"/>
        <v>0.89800000000000002</v>
      </c>
      <c r="E118" s="40">
        <f t="shared" si="32"/>
        <v>0.92799999999999994</v>
      </c>
      <c r="F118" s="40">
        <f t="shared" si="34"/>
        <v>0.98799999999999999</v>
      </c>
      <c r="G118" s="40">
        <f t="shared" si="35"/>
        <v>0.96605604775510356</v>
      </c>
      <c r="H118" s="50">
        <f t="shared" si="54"/>
        <v>3.5304246983232743</v>
      </c>
      <c r="I118" s="39">
        <f>IF(indtastning!J$23&gt;4.9,5,IF(indtastning!J$23&lt;indtastning!G134,indtastning!J$23,indtastning!G134))</f>
        <v>2.9285999999999999</v>
      </c>
      <c r="J118" s="41">
        <f t="shared" si="58"/>
        <v>2.9285999999999999</v>
      </c>
      <c r="K118" s="40">
        <f t="shared" si="36"/>
        <v>2.6250253177752789</v>
      </c>
      <c r="L118" s="46">
        <f t="shared" si="56"/>
        <v>0.94421479811393261</v>
      </c>
      <c r="M118" s="40">
        <f t="shared" si="59"/>
        <v>2.4785877504671467</v>
      </c>
      <c r="N118" s="39">
        <f>indtastning!D134</f>
        <v>6</v>
      </c>
      <c r="O118" s="45">
        <f t="shared" si="60"/>
        <v>14.87152650280288</v>
      </c>
      <c r="P118" s="39">
        <f t="shared" si="39"/>
        <v>15.752014184727521</v>
      </c>
      <c r="Q118" s="48">
        <f t="shared" si="40"/>
        <v>13.752014184727521</v>
      </c>
      <c r="R118" s="39">
        <f t="shared" si="55"/>
        <v>20.703954496251072</v>
      </c>
      <c r="S118" s="41">
        <f t="shared" si="41"/>
        <v>16.631586876686541</v>
      </c>
      <c r="T118" s="40">
        <f t="shared" si="61"/>
        <v>2.7719311461144236</v>
      </c>
      <c r="U118" s="40">
        <f t="shared" si="62"/>
        <v>1.0565197494552445</v>
      </c>
      <c r="V118" s="44">
        <f t="shared" si="63"/>
        <v>704.79787971264511</v>
      </c>
      <c r="W118" s="45">
        <f t="shared" si="64"/>
        <v>164.59741279518946</v>
      </c>
      <c r="X118" s="41">
        <f t="shared" si="65"/>
        <v>2.1437684867656155</v>
      </c>
      <c r="Y118" s="45">
        <f t="shared" si="66"/>
        <v>1789.4709228043178</v>
      </c>
      <c r="Z118" s="41">
        <f t="shared" si="67"/>
        <v>16.569175211151091</v>
      </c>
      <c r="AA118" s="41">
        <f t="shared" si="68"/>
        <v>1.5240501184739765</v>
      </c>
      <c r="AB118" s="39">
        <f>indtastning!F134/indtastning!E134</f>
        <v>1.6990291262135921</v>
      </c>
      <c r="AC118" s="40">
        <f t="shared" si="47"/>
        <v>4.9514805825242716</v>
      </c>
      <c r="AD118" s="40">
        <f t="shared" si="53"/>
        <v>307.89930822320764</v>
      </c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</row>
    <row r="119" spans="1:44" x14ac:dyDescent="0.25">
      <c r="A119" s="28">
        <v>108</v>
      </c>
      <c r="B119" s="41">
        <f t="shared" si="57"/>
        <v>82.769892878708262</v>
      </c>
      <c r="C119" s="39">
        <f>indtastning!E135</f>
        <v>1.03</v>
      </c>
      <c r="D119" s="40">
        <f t="shared" si="33"/>
        <v>0.89800000000000002</v>
      </c>
      <c r="E119" s="40">
        <f t="shared" si="32"/>
        <v>0.92799999999999994</v>
      </c>
      <c r="F119" s="40">
        <f t="shared" si="34"/>
        <v>0.98799999999999999</v>
      </c>
      <c r="G119" s="40">
        <f t="shared" si="35"/>
        <v>0.96732387145444987</v>
      </c>
      <c r="H119" s="50">
        <f t="shared" si="54"/>
        <v>3.5621548213761658</v>
      </c>
      <c r="I119" s="39">
        <f>IF(indtastning!J$23&gt;4.9,5,IF(indtastning!J$23&lt;indtastning!G135,indtastning!J$23,indtastning!G135))</f>
        <v>2.9428999999999998</v>
      </c>
      <c r="J119" s="41">
        <f t="shared" si="58"/>
        <v>2.9428999999999998</v>
      </c>
      <c r="K119" s="40">
        <f t="shared" si="36"/>
        <v>2.6416557212389264</v>
      </c>
      <c r="L119" s="46">
        <f t="shared" si="56"/>
        <v>0.94422938027877734</v>
      </c>
      <c r="M119" s="40">
        <f t="shared" si="59"/>
        <v>2.4943289445753183</v>
      </c>
      <c r="N119" s="39">
        <f>indtastning!D135</f>
        <v>6</v>
      </c>
      <c r="O119" s="45">
        <f t="shared" si="60"/>
        <v>14.965973667451909</v>
      </c>
      <c r="P119" s="39">
        <f t="shared" si="39"/>
        <v>15.757446235952585</v>
      </c>
      <c r="Q119" s="48">
        <f t="shared" si="40"/>
        <v>13.757446235952585</v>
      </c>
      <c r="R119" s="39">
        <f t="shared" si="55"/>
        <v>20.70977960451259</v>
      </c>
      <c r="S119" s="41">
        <f t="shared" si="41"/>
        <v>16.69937809999135</v>
      </c>
      <c r="T119" s="40">
        <f t="shared" si="61"/>
        <v>2.7832296833318915</v>
      </c>
      <c r="U119" s="40">
        <f t="shared" si="62"/>
        <v>1.0573687172224184</v>
      </c>
      <c r="V119" s="44">
        <f t="shared" si="63"/>
        <v>708.05456369174328</v>
      </c>
      <c r="W119" s="45">
        <f t="shared" si="64"/>
        <v>167.54031279518946</v>
      </c>
      <c r="X119" s="41">
        <f t="shared" si="65"/>
        <v>2.1524472782545088</v>
      </c>
      <c r="Y119" s="45">
        <f t="shared" si="66"/>
        <v>1806.170300904309</v>
      </c>
      <c r="Z119" s="41">
        <f t="shared" si="67"/>
        <v>16.570369733067054</v>
      </c>
      <c r="AA119" s="41">
        <f t="shared" si="68"/>
        <v>1.5370670898641234</v>
      </c>
      <c r="AB119" s="39">
        <f>indtastning!F135/indtastning!E135</f>
        <v>1.6990291262135921</v>
      </c>
      <c r="AC119" s="40">
        <f t="shared" si="47"/>
        <v>4.9757766990291259</v>
      </c>
      <c r="AD119" s="40">
        <f t="shared" si="53"/>
        <v>312.87508492223674</v>
      </c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</row>
    <row r="120" spans="1:44" x14ac:dyDescent="0.25">
      <c r="A120" s="28">
        <v>109</v>
      </c>
      <c r="B120" s="41">
        <f t="shared" si="57"/>
        <v>83.827261595930679</v>
      </c>
      <c r="C120" s="39">
        <f>indtastning!E136</f>
        <v>1.03</v>
      </c>
      <c r="D120" s="40">
        <f t="shared" si="33"/>
        <v>0.89800000000000002</v>
      </c>
      <c r="E120" s="40">
        <f t="shared" si="32"/>
        <v>0.92799999999999994</v>
      </c>
      <c r="F120" s="40">
        <f t="shared" si="34"/>
        <v>0.98799999999999999</v>
      </c>
      <c r="G120" s="40">
        <f t="shared" si="35"/>
        <v>0.96859271391511681</v>
      </c>
      <c r="H120" s="50">
        <f t="shared" si="54"/>
        <v>3.5935052649456547</v>
      </c>
      <c r="I120" s="39">
        <f>IF(indtastning!J$23&gt;4.9,5,IF(indtastning!J$23&lt;indtastning!G136,indtastning!J$23,indtastning!G136))</f>
        <v>2.9571999999999998</v>
      </c>
      <c r="J120" s="41">
        <f t="shared" si="58"/>
        <v>2.9571999999999998</v>
      </c>
      <c r="K120" s="40">
        <f t="shared" si="36"/>
        <v>2.6582994880840944</v>
      </c>
      <c r="L120" s="46">
        <f t="shared" si="56"/>
        <v>0.94425924332667643</v>
      </c>
      <c r="M120" s="40">
        <f t="shared" si="59"/>
        <v>2.5101238631539782</v>
      </c>
      <c r="N120" s="39">
        <f>indtastning!D136</f>
        <v>6</v>
      </c>
      <c r="O120" s="45">
        <f t="shared" si="60"/>
        <v>15.060743178923868</v>
      </c>
      <c r="P120" s="39">
        <f t="shared" si="39"/>
        <v>15.76285495361385</v>
      </c>
      <c r="Q120" s="48">
        <f t="shared" si="40"/>
        <v>13.76285495361385</v>
      </c>
      <c r="R120" s="39">
        <f t="shared" si="55"/>
        <v>20.715572288767692</v>
      </c>
      <c r="S120" s="41">
        <f t="shared" si="41"/>
        <v>16.767369848371455</v>
      </c>
      <c r="T120" s="40">
        <f t="shared" si="61"/>
        <v>2.7945616413952425</v>
      </c>
      <c r="U120" s="40">
        <f t="shared" si="62"/>
        <v>1.0581981646765739</v>
      </c>
      <c r="V120" s="44">
        <f t="shared" si="63"/>
        <v>711.25928069661165</v>
      </c>
      <c r="W120" s="45">
        <f t="shared" si="64"/>
        <v>170.49751279518946</v>
      </c>
      <c r="X120" s="41">
        <f t="shared" si="65"/>
        <v>2.1610503111589776</v>
      </c>
      <c r="Y120" s="45">
        <f t="shared" si="66"/>
        <v>1822.9376707526803</v>
      </c>
      <c r="Z120" s="41">
        <f t="shared" si="67"/>
        <v>16.572160643206185</v>
      </c>
      <c r="AA120" s="41">
        <f t="shared" si="68"/>
        <v>1.5499773890471769</v>
      </c>
      <c r="AB120" s="39">
        <f>indtastning!F136/indtastning!E136</f>
        <v>1.6990291262135921</v>
      </c>
      <c r="AC120" s="40">
        <f t="shared" si="47"/>
        <v>5.0000728155339802</v>
      </c>
      <c r="AD120" s="40">
        <f t="shared" si="53"/>
        <v>317.87515773777073</v>
      </c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</row>
    <row r="121" spans="1:44" x14ac:dyDescent="0.25">
      <c r="A121" s="28">
        <v>110</v>
      </c>
      <c r="B121" s="41">
        <f t="shared" si="57"/>
        <v>84.885459760607247</v>
      </c>
      <c r="C121" s="39">
        <f>indtastning!E137</f>
        <v>1.03</v>
      </c>
      <c r="D121" s="40">
        <f t="shared" si="33"/>
        <v>0.89800000000000002</v>
      </c>
      <c r="E121" s="40">
        <f t="shared" si="32"/>
        <v>0.92799999999999994</v>
      </c>
      <c r="F121" s="40">
        <f t="shared" si="34"/>
        <v>0.98799999999999999</v>
      </c>
      <c r="G121" s="40">
        <f t="shared" si="35"/>
        <v>0.96986255171272862</v>
      </c>
      <c r="H121" s="50">
        <f t="shared" si="54"/>
        <v>3.6244726104002458</v>
      </c>
      <c r="I121" s="39">
        <f>IF(indtastning!J$23&gt;4.9,5,IF(indtastning!J$23&lt;indtastning!G137,indtastning!J$23,indtastning!G137))</f>
        <v>2.9714999999999998</v>
      </c>
      <c r="J121" s="41">
        <f t="shared" si="58"/>
        <v>2.9714999999999998</v>
      </c>
      <c r="K121" s="40">
        <f t="shared" si="36"/>
        <v>2.6749563110465955</v>
      </c>
      <c r="L121" s="46">
        <f t="shared" si="56"/>
        <v>0.94430401608015468</v>
      </c>
      <c r="M121" s="40">
        <f t="shared" si="59"/>
        <v>2.5259719873602555</v>
      </c>
      <c r="N121" s="39">
        <f>indtastning!D137</f>
        <v>6</v>
      </c>
      <c r="O121" s="45">
        <f t="shared" si="60"/>
        <v>15.155831924161532</v>
      </c>
      <c r="P121" s="39">
        <f t="shared" si="39"/>
        <v>15.768240660572108</v>
      </c>
      <c r="Q121" s="48">
        <f t="shared" si="40"/>
        <v>13.768240660572108</v>
      </c>
      <c r="R121" s="39">
        <f t="shared" si="55"/>
        <v>20.721333054658345</v>
      </c>
      <c r="S121" s="41">
        <f t="shared" si="41"/>
        <v>16.835560328063558</v>
      </c>
      <c r="T121" s="40">
        <f t="shared" si="61"/>
        <v>2.8059267213439263</v>
      </c>
      <c r="U121" s="40">
        <f t="shared" si="62"/>
        <v>1.0590084115157401</v>
      </c>
      <c r="V121" s="44">
        <f t="shared" si="63"/>
        <v>714.41327055097508</v>
      </c>
      <c r="W121" s="45">
        <f t="shared" si="64"/>
        <v>173.46901279518946</v>
      </c>
      <c r="X121" s="41">
        <f t="shared" si="65"/>
        <v>2.1695809035739106</v>
      </c>
      <c r="Y121" s="45">
        <f t="shared" si="66"/>
        <v>1839.7732310807439</v>
      </c>
      <c r="Z121" s="41">
        <f t="shared" si="67"/>
        <v>16.574533613340034</v>
      </c>
      <c r="AA121" s="41">
        <f t="shared" si="68"/>
        <v>1.5627838990557608</v>
      </c>
      <c r="AB121" s="39">
        <f>indtastning!F137/indtastning!E137</f>
        <v>1.6990291262135921</v>
      </c>
      <c r="AC121" s="40">
        <f t="shared" si="47"/>
        <v>5.0243689320388345</v>
      </c>
      <c r="AD121" s="40">
        <f t="shared" si="53"/>
        <v>322.89952666980957</v>
      </c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</row>
    <row r="122" spans="1:44" x14ac:dyDescent="0.25">
      <c r="A122" s="28">
        <v>111</v>
      </c>
      <c r="B122" s="41">
        <f t="shared" si="57"/>
        <v>85.944468172122981</v>
      </c>
      <c r="C122" s="39">
        <f>indtastning!E138</f>
        <v>1.03</v>
      </c>
      <c r="D122" s="40">
        <f t="shared" si="33"/>
        <v>0.89800000000000002</v>
      </c>
      <c r="E122" s="40">
        <f t="shared" si="32"/>
        <v>0.92799999999999994</v>
      </c>
      <c r="F122" s="40">
        <f t="shared" si="34"/>
        <v>0.98799999999999999</v>
      </c>
      <c r="G122" s="40">
        <f t="shared" si="35"/>
        <v>0.97113336180654752</v>
      </c>
      <c r="H122" s="50">
        <f t="shared" si="54"/>
        <v>3.6550534687883616</v>
      </c>
      <c r="I122" s="39">
        <f>IF(indtastning!J$23&gt;4.9,5,IF(indtastning!J$23&lt;indtastning!G138,indtastning!J$23,indtastning!G138))</f>
        <v>2.9857999999999998</v>
      </c>
      <c r="J122" s="41">
        <f t="shared" si="58"/>
        <v>2.9857999999999998</v>
      </c>
      <c r="K122" s="40">
        <f t="shared" si="36"/>
        <v>2.6916258878945287</v>
      </c>
      <c r="L122" s="46">
        <f t="shared" si="56"/>
        <v>0.94436334033350089</v>
      </c>
      <c r="M122" s="40">
        <f t="shared" si="59"/>
        <v>2.5418728144202025</v>
      </c>
      <c r="N122" s="39">
        <f>indtastning!D138</f>
        <v>6</v>
      </c>
      <c r="O122" s="45">
        <f t="shared" si="60"/>
        <v>15.251236886521216</v>
      </c>
      <c r="P122" s="39">
        <f t="shared" si="39"/>
        <v>15.77360367094939</v>
      </c>
      <c r="Q122" s="48">
        <f t="shared" si="40"/>
        <v>13.77360367094939</v>
      </c>
      <c r="R122" s="39">
        <f t="shared" si="55"/>
        <v>20.727062393650627</v>
      </c>
      <c r="S122" s="41">
        <f t="shared" si="41"/>
        <v>16.903947803258355</v>
      </c>
      <c r="T122" s="40">
        <f t="shared" si="61"/>
        <v>2.8173246338763924</v>
      </c>
      <c r="U122" s="40">
        <f t="shared" si="62"/>
        <v>1.0597997703558215</v>
      </c>
      <c r="V122" s="44">
        <f t="shared" si="63"/>
        <v>717.51773128038724</v>
      </c>
      <c r="W122" s="45">
        <f t="shared" si="64"/>
        <v>176.45481279518947</v>
      </c>
      <c r="X122" s="41">
        <f t="shared" si="65"/>
        <v>2.178042201503541</v>
      </c>
      <c r="Y122" s="45">
        <f t="shared" si="66"/>
        <v>1856.6771788840024</v>
      </c>
      <c r="Z122" s="41">
        <f t="shared" si="67"/>
        <v>16.577474811464306</v>
      </c>
      <c r="AA122" s="41">
        <f t="shared" si="68"/>
        <v>1.5754893999570487</v>
      </c>
      <c r="AB122" s="39">
        <f>indtastning!F138/indtastning!E138</f>
        <v>1.6990291262135921</v>
      </c>
      <c r="AC122" s="40">
        <f t="shared" si="47"/>
        <v>5.0486650485436888</v>
      </c>
      <c r="AD122" s="40">
        <f t="shared" si="53"/>
        <v>327.94819171835326</v>
      </c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</row>
    <row r="123" spans="1:44" x14ac:dyDescent="0.25">
      <c r="A123" s="37">
        <v>112</v>
      </c>
      <c r="B123" s="39">
        <f t="shared" si="57"/>
        <v>87.004267942478805</v>
      </c>
      <c r="C123" s="39">
        <f>indtastning!E139</f>
        <v>1.03</v>
      </c>
      <c r="D123" s="40">
        <f t="shared" si="33"/>
        <v>0.89800000000000002</v>
      </c>
      <c r="E123" s="40">
        <f t="shared" si="32"/>
        <v>0.92799999999999994</v>
      </c>
      <c r="F123" s="40">
        <f t="shared" si="34"/>
        <v>0.98799999999999999</v>
      </c>
      <c r="G123" s="40">
        <f t="shared" si="35"/>
        <v>0.97240512153097458</v>
      </c>
      <c r="H123" s="50">
        <f t="shared" si="54"/>
        <v>3.6852444804016025</v>
      </c>
      <c r="I123" s="39">
        <f>IF(indtastning!J$23&gt;4.9,5,IF(indtastning!J$23&lt;indtastning!G139,indtastning!J$23,indtastning!G139))</f>
        <v>3</v>
      </c>
      <c r="J123" s="39">
        <f t="shared" si="58"/>
        <v>3</v>
      </c>
      <c r="K123" s="42">
        <f t="shared" si="36"/>
        <v>2.7083079213167962</v>
      </c>
      <c r="L123" s="46">
        <f t="shared" si="56"/>
        <v>0.94443687028660772</v>
      </c>
      <c r="M123" s="42">
        <f t="shared" si="59"/>
        <v>2.5578258569808634</v>
      </c>
      <c r="N123" s="39">
        <f>indtastning!D139</f>
        <v>6</v>
      </c>
      <c r="O123" s="48">
        <f t="shared" si="60"/>
        <v>15.34695514188518</v>
      </c>
      <c r="P123" s="39">
        <f t="shared" si="39"/>
        <v>15.778944290473506</v>
      </c>
      <c r="Q123" s="48">
        <f t="shared" si="40"/>
        <v>13.778944290473506</v>
      </c>
      <c r="R123" s="39">
        <f t="shared" si="55"/>
        <v>20.732760783601449</v>
      </c>
      <c r="S123" s="41">
        <f t="shared" si="41"/>
        <v>16.972530593732643</v>
      </c>
      <c r="T123" s="42">
        <f t="shared" si="61"/>
        <v>2.8287550989554404</v>
      </c>
      <c r="U123" s="42">
        <f t="shared" si="62"/>
        <v>1.0605371957112137</v>
      </c>
      <c r="V123" s="51">
        <f t="shared" si="63"/>
        <v>720.57382091498937</v>
      </c>
      <c r="W123" s="48">
        <f t="shared" si="64"/>
        <v>179.45481279518947</v>
      </c>
      <c r="X123" s="39">
        <f t="shared" si="65"/>
        <v>2.1864371896781956</v>
      </c>
      <c r="Y123" s="48">
        <f t="shared" si="66"/>
        <v>1873.6497094777351</v>
      </c>
      <c r="Z123" s="39">
        <f t="shared" si="67"/>
        <v>16.58097088033394</v>
      </c>
      <c r="AA123" s="39">
        <f t="shared" si="68"/>
        <v>1.5880956884530042</v>
      </c>
      <c r="AB123" s="39">
        <f>indtastning!F139/indtastning!E139</f>
        <v>1.6990291262135921</v>
      </c>
      <c r="AC123" s="40">
        <f t="shared" si="47"/>
        <v>5.0729611650485431</v>
      </c>
      <c r="AD123" s="40">
        <f t="shared" si="53"/>
        <v>333.02115288340178</v>
      </c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</row>
    <row r="124" spans="1:44" x14ac:dyDescent="0.25">
      <c r="A124" s="28">
        <v>113</v>
      </c>
      <c r="B124" s="41">
        <f t="shared" si="57"/>
        <v>88.064805138190025</v>
      </c>
      <c r="C124" s="39">
        <f>indtastning!E140</f>
        <v>1.03</v>
      </c>
      <c r="D124" s="40">
        <f t="shared" si="33"/>
        <v>0.89800000000000002</v>
      </c>
      <c r="E124" s="40">
        <f t="shared" si="32"/>
        <v>0.92799999999999994</v>
      </c>
      <c r="F124" s="40">
        <f t="shared" si="34"/>
        <v>0.98799999999999999</v>
      </c>
      <c r="G124" s="40">
        <f t="shared" si="35"/>
        <v>0.97367776616582802</v>
      </c>
      <c r="H124" s="50">
        <f t="shared" si="54"/>
        <v>3.7150413280660013</v>
      </c>
      <c r="I124" s="39">
        <f>IF(indtastning!J$23&gt;4.9,5,IF(indtastning!J$23&lt;indtastning!G140,indtastning!J$23,indtastning!G140))</f>
        <v>3.0143</v>
      </c>
      <c r="J124" s="41">
        <f t="shared" si="58"/>
        <v>3.0143</v>
      </c>
      <c r="K124" s="40">
        <f t="shared" si="36"/>
        <v>2.7250015623603989</v>
      </c>
      <c r="L124" s="46">
        <f t="shared" si="56"/>
        <v>0.94452427200834854</v>
      </c>
      <c r="M124" s="40">
        <f t="shared" si="59"/>
        <v>2.5738301169100684</v>
      </c>
      <c r="N124" s="39">
        <f>indtastning!D140</f>
        <v>6</v>
      </c>
      <c r="O124" s="45">
        <f t="shared" si="60"/>
        <v>15.44298070146041</v>
      </c>
      <c r="P124" s="39">
        <f t="shared" si="39"/>
        <v>15.784262639955195</v>
      </c>
      <c r="Q124" s="48">
        <f t="shared" si="40"/>
        <v>13.784262639955195</v>
      </c>
      <c r="R124" s="39">
        <f t="shared" si="55"/>
        <v>20.738428500942881</v>
      </c>
      <c r="S124" s="41">
        <f t="shared" si="41"/>
        <v>17.041304813932022</v>
      </c>
      <c r="T124" s="40">
        <f t="shared" si="61"/>
        <v>2.8402174689886706</v>
      </c>
      <c r="U124" s="40">
        <f t="shared" si="62"/>
        <v>1.0612919725028365</v>
      </c>
      <c r="V124" s="44">
        <f t="shared" si="63"/>
        <v>723.58234635566396</v>
      </c>
      <c r="W124" s="45">
        <f t="shared" si="64"/>
        <v>182.46911279518946</v>
      </c>
      <c r="X124" s="41">
        <f t="shared" si="65"/>
        <v>2.1947684274657582</v>
      </c>
      <c r="Y124" s="45">
        <f t="shared" si="66"/>
        <v>1890.6910142916672</v>
      </c>
      <c r="Z124" s="41">
        <f t="shared" si="67"/>
        <v>16.585008897295328</v>
      </c>
      <c r="AA124" s="41">
        <f t="shared" si="68"/>
        <v>1.6006062525893812</v>
      </c>
      <c r="AB124" s="39">
        <f>indtastning!F140/indtastning!E140</f>
        <v>1.6990291262135921</v>
      </c>
      <c r="AC124" s="40">
        <f t="shared" si="47"/>
        <v>5.0970873786407767</v>
      </c>
      <c r="AD124" s="40">
        <f t="shared" si="53"/>
        <v>338.11824026204255</v>
      </c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</row>
    <row r="125" spans="1:44" x14ac:dyDescent="0.25">
      <c r="A125" s="28">
        <v>114</v>
      </c>
      <c r="B125" s="41">
        <f t="shared" si="57"/>
        <v>89.126097110692868</v>
      </c>
      <c r="C125" s="39">
        <f>indtastning!E141</f>
        <v>1.03</v>
      </c>
      <c r="D125" s="40">
        <f t="shared" si="33"/>
        <v>0.89800000000000002</v>
      </c>
      <c r="E125" s="40">
        <f t="shared" si="32"/>
        <v>0.92799999999999994</v>
      </c>
      <c r="F125" s="40">
        <f t="shared" si="34"/>
        <v>0.98799999999999999</v>
      </c>
      <c r="G125" s="40">
        <f t="shared" si="35"/>
        <v>0.9749513165328314</v>
      </c>
      <c r="H125" s="50">
        <f t="shared" si="54"/>
        <v>3.7444417312764391</v>
      </c>
      <c r="I125" s="39">
        <f>IF(indtastning!J$23&gt;4.9,5,IF(indtastning!J$23&lt;indtastning!G141,indtastning!J$23,indtastning!G141))</f>
        <v>3.0286</v>
      </c>
      <c r="J125" s="41">
        <f t="shared" si="58"/>
        <v>3.0286</v>
      </c>
      <c r="K125" s="40">
        <f t="shared" si="36"/>
        <v>2.7417070841497955</v>
      </c>
      <c r="L125" s="46">
        <f t="shared" si="56"/>
        <v>0.94462522243238323</v>
      </c>
      <c r="M125" s="40">
        <f t="shared" si="59"/>
        <v>2.5898856642094414</v>
      </c>
      <c r="N125" s="39">
        <f>indtastning!D141</f>
        <v>6</v>
      </c>
      <c r="O125" s="45">
        <f t="shared" si="60"/>
        <v>15.539313985256648</v>
      </c>
      <c r="P125" s="39">
        <f t="shared" si="39"/>
        <v>15.78955918925014</v>
      </c>
      <c r="Q125" s="48">
        <f t="shared" si="40"/>
        <v>13.78955918925014</v>
      </c>
      <c r="R125" s="39">
        <f t="shared" si="55"/>
        <v>20.744066190003078</v>
      </c>
      <c r="S125" s="41">
        <f t="shared" si="41"/>
        <v>17.110271160413308</v>
      </c>
      <c r="T125" s="40">
        <f t="shared" si="61"/>
        <v>2.8517118600688849</v>
      </c>
      <c r="U125" s="40">
        <f t="shared" si="62"/>
        <v>1.0620287562737289</v>
      </c>
      <c r="V125" s="44">
        <f t="shared" si="63"/>
        <v>726.54471149730591</v>
      </c>
      <c r="W125" s="45">
        <f t="shared" si="64"/>
        <v>185.49771279518947</v>
      </c>
      <c r="X125" s="41">
        <f t="shared" si="65"/>
        <v>2.2030388870228759</v>
      </c>
      <c r="Y125" s="45">
        <f t="shared" si="66"/>
        <v>1907.8012854520805</v>
      </c>
      <c r="Z125" s="41">
        <f t="shared" si="67"/>
        <v>16.589576395235483</v>
      </c>
      <c r="AA125" s="41">
        <f t="shared" si="68"/>
        <v>1.6130235895233866</v>
      </c>
      <c r="AB125" s="39">
        <f>indtastning!F141/indtastning!E141</f>
        <v>1.6990291262135921</v>
      </c>
      <c r="AC125" s="40">
        <f t="shared" si="47"/>
        <v>5.121383495145631</v>
      </c>
      <c r="AD125" s="40">
        <f t="shared" si="53"/>
        <v>343.23962375718816</v>
      </c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</row>
    <row r="126" spans="1:44" x14ac:dyDescent="0.25">
      <c r="A126" s="28">
        <v>115</v>
      </c>
      <c r="B126" s="41">
        <f t="shared" si="57"/>
        <v>90.188125866966601</v>
      </c>
      <c r="C126" s="39">
        <f>indtastning!E142</f>
        <v>1.03</v>
      </c>
      <c r="D126" s="40">
        <f t="shared" si="33"/>
        <v>0.89800000000000002</v>
      </c>
      <c r="E126" s="40">
        <f t="shared" si="32"/>
        <v>0.92799999999999994</v>
      </c>
      <c r="F126" s="40">
        <f t="shared" si="34"/>
        <v>0.98799999999999999</v>
      </c>
      <c r="G126" s="40">
        <f t="shared" si="35"/>
        <v>0.97622575104035991</v>
      </c>
      <c r="H126" s="50">
        <f t="shared" si="54"/>
        <v>3.7734424153744719</v>
      </c>
      <c r="I126" s="39">
        <f>IF(indtastning!J$23&gt;4.9,5,IF(indtastning!J$23&lt;indtastning!G142,indtastning!J$23,indtastning!G142))</f>
        <v>3.0428999999999999</v>
      </c>
      <c r="J126" s="41">
        <f t="shared" si="58"/>
        <v>3.0428999999999999</v>
      </c>
      <c r="K126" s="40">
        <f t="shared" si="36"/>
        <v>2.7584242034615114</v>
      </c>
      <c r="L126" s="46">
        <f t="shared" si="56"/>
        <v>0.94473940988088712</v>
      </c>
      <c r="M126" s="40">
        <f t="shared" si="59"/>
        <v>2.6059920541793842</v>
      </c>
      <c r="N126" s="39">
        <f>indtastning!D142</f>
        <v>6</v>
      </c>
      <c r="O126" s="45">
        <f t="shared" si="60"/>
        <v>15.635952325076305</v>
      </c>
      <c r="P126" s="39">
        <f t="shared" si="39"/>
        <v>15.794834220728799</v>
      </c>
      <c r="Q126" s="48">
        <f t="shared" si="40"/>
        <v>13.794834220728799</v>
      </c>
      <c r="R126" s="39">
        <f t="shared" si="55"/>
        <v>20.749674290833266</v>
      </c>
      <c r="S126" s="41">
        <f t="shared" si="41"/>
        <v>17.17942810643973</v>
      </c>
      <c r="T126" s="40">
        <f t="shared" si="61"/>
        <v>2.8632380177399548</v>
      </c>
      <c r="U126" s="40">
        <f t="shared" si="62"/>
        <v>1.0627478334483202</v>
      </c>
      <c r="V126" s="44">
        <f t="shared" si="63"/>
        <v>729.46196406057913</v>
      </c>
      <c r="W126" s="45">
        <f t="shared" si="64"/>
        <v>188.54061279518947</v>
      </c>
      <c r="X126" s="41">
        <f t="shared" si="65"/>
        <v>2.2112511261648606</v>
      </c>
      <c r="Y126" s="45">
        <f t="shared" si="66"/>
        <v>1924.9807135585202</v>
      </c>
      <c r="Z126" s="41">
        <f t="shared" si="67"/>
        <v>16.594661323780347</v>
      </c>
      <c r="AA126" s="41">
        <f t="shared" si="68"/>
        <v>1.6253501103033576</v>
      </c>
      <c r="AB126" s="39">
        <f>indtastning!F142/indtastning!E142</f>
        <v>1.6990291262135921</v>
      </c>
      <c r="AC126" s="40">
        <f t="shared" si="47"/>
        <v>5.1456796116504853</v>
      </c>
      <c r="AD126" s="40">
        <f t="shared" si="53"/>
        <v>348.38530336883866</v>
      </c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</row>
    <row r="127" spans="1:44" x14ac:dyDescent="0.25">
      <c r="A127" s="28">
        <v>116</v>
      </c>
      <c r="B127" s="41">
        <f t="shared" si="57"/>
        <v>91.250873700414928</v>
      </c>
      <c r="C127" s="39">
        <f>indtastning!E143</f>
        <v>1.03</v>
      </c>
      <c r="D127" s="40">
        <f t="shared" si="33"/>
        <v>0.89800000000000002</v>
      </c>
      <c r="E127" s="40">
        <f t="shared" si="32"/>
        <v>0.92799999999999994</v>
      </c>
      <c r="F127" s="40">
        <f t="shared" si="34"/>
        <v>0.98799999999999999</v>
      </c>
      <c r="G127" s="40">
        <f t="shared" si="35"/>
        <v>0.9775010484404979</v>
      </c>
      <c r="H127" s="50">
        <f t="shared" si="54"/>
        <v>3.8020401333241867</v>
      </c>
      <c r="I127" s="39">
        <f>IF(indtastning!J$23&gt;4.9,5,IF(indtastning!J$23&lt;indtastning!G143,indtastning!J$23,indtastning!G143))</f>
        <v>3.0571999999999999</v>
      </c>
      <c r="J127" s="41">
        <f t="shared" si="58"/>
        <v>3.0571999999999999</v>
      </c>
      <c r="K127" s="40">
        <f t="shared" si="36"/>
        <v>2.7751526415806058</v>
      </c>
      <c r="L127" s="46">
        <f t="shared" si="56"/>
        <v>0.94486653309450874</v>
      </c>
      <c r="M127" s="40">
        <f t="shared" si="59"/>
        <v>2.622148855258335</v>
      </c>
      <c r="N127" s="39">
        <f>indtastning!D143</f>
        <v>6</v>
      </c>
      <c r="O127" s="45">
        <f t="shared" si="60"/>
        <v>15.732893131550011</v>
      </c>
      <c r="P127" s="39">
        <f t="shared" si="39"/>
        <v>15.800088009583854</v>
      </c>
      <c r="Q127" s="48">
        <f t="shared" si="40"/>
        <v>13.800088009583854</v>
      </c>
      <c r="R127" s="39">
        <f t="shared" si="55"/>
        <v>20.755253231873176</v>
      </c>
      <c r="S127" s="41">
        <f t="shared" si="41"/>
        <v>17.248774172524953</v>
      </c>
      <c r="T127" s="40">
        <f t="shared" si="61"/>
        <v>2.8747956954208256</v>
      </c>
      <c r="U127" s="40">
        <f t="shared" si="62"/>
        <v>1.063449484382393</v>
      </c>
      <c r="V127" s="44">
        <f t="shared" si="63"/>
        <v>732.33511810702521</v>
      </c>
      <c r="W127" s="45">
        <f t="shared" si="64"/>
        <v>191.59781279518947</v>
      </c>
      <c r="X127" s="41">
        <f t="shared" si="65"/>
        <v>2.2194075773733752</v>
      </c>
      <c r="Y127" s="45">
        <f t="shared" si="66"/>
        <v>1942.2294877310451</v>
      </c>
      <c r="Z127" s="41">
        <f t="shared" si="67"/>
        <v>16.600252031889273</v>
      </c>
      <c r="AA127" s="41">
        <f t="shared" si="68"/>
        <v>1.6375881435486279</v>
      </c>
      <c r="AB127" s="39">
        <f>indtastning!F143/indtastning!E143</f>
        <v>1.6990291262135921</v>
      </c>
      <c r="AC127" s="40">
        <f t="shared" si="47"/>
        <v>5.1699757281553396</v>
      </c>
      <c r="AD127" s="40">
        <f t="shared" si="53"/>
        <v>353.55527909699401</v>
      </c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</row>
    <row r="128" spans="1:44" x14ac:dyDescent="0.25">
      <c r="A128" s="28">
        <v>117</v>
      </c>
      <c r="B128" s="41">
        <f t="shared" si="57"/>
        <v>92.314323184797317</v>
      </c>
      <c r="C128" s="39">
        <f>indtastning!E144</f>
        <v>1.03</v>
      </c>
      <c r="D128" s="40">
        <f t="shared" si="33"/>
        <v>0.89800000000000002</v>
      </c>
      <c r="E128" s="40">
        <f t="shared" si="32"/>
        <v>0.92799999999999994</v>
      </c>
      <c r="F128" s="40">
        <f t="shared" si="34"/>
        <v>0.98799999999999999</v>
      </c>
      <c r="G128" s="40">
        <f t="shared" si="35"/>
        <v>0.97877718782175671</v>
      </c>
      <c r="H128" s="50">
        <f t="shared" si="54"/>
        <v>3.8302316653356345</v>
      </c>
      <c r="I128" s="39">
        <f>IF(indtastning!J$23&gt;4.9,5,IF(indtastning!J$23&lt;indtastning!G144,indtastning!J$23,indtastning!G144))</f>
        <v>3.0714999999999999</v>
      </c>
      <c r="J128" s="41">
        <f t="shared" si="58"/>
        <v>3.0714999999999999</v>
      </c>
      <c r="K128" s="40">
        <f t="shared" si="36"/>
        <v>2.7918921242051429</v>
      </c>
      <c r="L128" s="46">
        <f t="shared" si="56"/>
        <v>0.94500630079723191</v>
      </c>
      <c r="M128" s="40">
        <f t="shared" si="59"/>
        <v>2.6383556485200281</v>
      </c>
      <c r="N128" s="39">
        <f>indtastning!D144</f>
        <v>6</v>
      </c>
      <c r="O128" s="45">
        <f t="shared" si="60"/>
        <v>15.83013389112017</v>
      </c>
      <c r="P128" s="39">
        <f t="shared" si="39"/>
        <v>15.805320824097397</v>
      </c>
      <c r="Q128" s="48">
        <f t="shared" si="40"/>
        <v>13.805320824097397</v>
      </c>
      <c r="R128" s="39">
        <f t="shared" si="55"/>
        <v>20.760803430389366</v>
      </c>
      <c r="S128" s="41">
        <f t="shared" si="41"/>
        <v>17.318307924597928</v>
      </c>
      <c r="T128" s="40">
        <f t="shared" si="61"/>
        <v>2.8863846540996545</v>
      </c>
      <c r="U128" s="40">
        <f t="shared" si="62"/>
        <v>1.0641339835414585</v>
      </c>
      <c r="V128" s="44">
        <f t="shared" si="63"/>
        <v>735.16515542561808</v>
      </c>
      <c r="W128" s="45">
        <f t="shared" si="64"/>
        <v>194.66931279518946</v>
      </c>
      <c r="X128" s="41">
        <f t="shared" si="65"/>
        <v>2.2275105552310337</v>
      </c>
      <c r="Y128" s="45">
        <f t="shared" si="66"/>
        <v>1959.5477956556431</v>
      </c>
      <c r="Z128" s="41">
        <f t="shared" si="67"/>
        <v>16.606337251319008</v>
      </c>
      <c r="AA128" s="41">
        <f t="shared" si="68"/>
        <v>1.6497399389422835</v>
      </c>
      <c r="AB128" s="39">
        <f>indtastning!F144/indtastning!E144</f>
        <v>1.6990291262135921</v>
      </c>
      <c r="AC128" s="40">
        <f t="shared" si="47"/>
        <v>5.1942718446601939</v>
      </c>
      <c r="AD128" s="40">
        <f t="shared" si="53"/>
        <v>358.74955094165421</v>
      </c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</row>
    <row r="129" spans="1:44" x14ac:dyDescent="0.25">
      <c r="A129" s="28">
        <v>118</v>
      </c>
      <c r="B129" s="41">
        <f t="shared" si="57"/>
        <v>93.37845716833877</v>
      </c>
      <c r="C129" s="39">
        <f>indtastning!E145</f>
        <v>1.03</v>
      </c>
      <c r="D129" s="40">
        <f t="shared" si="33"/>
        <v>0.89800000000000002</v>
      </c>
      <c r="E129" s="40">
        <f t="shared" si="32"/>
        <v>0.92799999999999994</v>
      </c>
      <c r="F129" s="40">
        <f t="shared" si="34"/>
        <v>0.98799999999999999</v>
      </c>
      <c r="G129" s="40">
        <f t="shared" si="35"/>
        <v>0.98005414860200646</v>
      </c>
      <c r="H129" s="50">
        <f t="shared" si="54"/>
        <v>3.8580138184988386</v>
      </c>
      <c r="I129" s="39">
        <f>IF(indtastning!J$23&gt;4.9,5,IF(indtastning!J$23&lt;indtastning!G145,indtastning!J$23,indtastning!G145))</f>
        <v>3.0857999999999999</v>
      </c>
      <c r="J129" s="41">
        <f t="shared" si="58"/>
        <v>3.0857999999999999</v>
      </c>
      <c r="K129" s="40">
        <f t="shared" si="36"/>
        <v>2.8086423813534811</v>
      </c>
      <c r="L129" s="46">
        <f t="shared" si="56"/>
        <v>0.94515843128297528</v>
      </c>
      <c r="M129" s="40">
        <f t="shared" si="59"/>
        <v>2.6546120271949363</v>
      </c>
      <c r="N129" s="39">
        <f>indtastning!D145</f>
        <v>6</v>
      </c>
      <c r="O129" s="45">
        <f t="shared" si="60"/>
        <v>15.927672163169618</v>
      </c>
      <c r="P129" s="39">
        <f t="shared" si="39"/>
        <v>15.810532925895313</v>
      </c>
      <c r="Q129" s="48">
        <f t="shared" si="40"/>
        <v>13.810532925895313</v>
      </c>
      <c r="R129" s="39">
        <f t="shared" si="55"/>
        <v>20.766325292892301</v>
      </c>
      <c r="S129" s="41">
        <f t="shared" si="41"/>
        <v>17.388027972256538</v>
      </c>
      <c r="T129" s="40">
        <f t="shared" si="61"/>
        <v>2.8980046620427564</v>
      </c>
      <c r="U129" s="40">
        <f t="shared" si="62"/>
        <v>1.064801599671986</v>
      </c>
      <c r="V129" s="44">
        <f t="shared" si="63"/>
        <v>737.95302685032857</v>
      </c>
      <c r="W129" s="45">
        <f t="shared" si="64"/>
        <v>197.75511279518946</v>
      </c>
      <c r="X129" s="41">
        <f t="shared" si="65"/>
        <v>2.2355622633375054</v>
      </c>
      <c r="Y129" s="45">
        <f t="shared" si="66"/>
        <v>1976.9358236278997</v>
      </c>
      <c r="Z129" s="41">
        <f t="shared" si="67"/>
        <v>16.612906080906722</v>
      </c>
      <c r="AA129" s="41">
        <f t="shared" si="68"/>
        <v>1.6618076705478106</v>
      </c>
      <c r="AB129" s="39">
        <f>indtastning!F145/indtastning!E145</f>
        <v>1.6990291262135921</v>
      </c>
      <c r="AC129" s="40">
        <f t="shared" si="47"/>
        <v>5.2185679611650482</v>
      </c>
      <c r="AD129" s="40">
        <f t="shared" si="53"/>
        <v>363.96811890281924</v>
      </c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</row>
    <row r="130" spans="1:44" x14ac:dyDescent="0.25">
      <c r="A130" s="37">
        <v>119</v>
      </c>
      <c r="B130" s="39">
        <f t="shared" si="57"/>
        <v>94.44325876801075</v>
      </c>
      <c r="C130" s="39">
        <f>indtastning!E146</f>
        <v>1.03</v>
      </c>
      <c r="D130" s="40">
        <f t="shared" si="33"/>
        <v>0.89800000000000002</v>
      </c>
      <c r="E130" s="40">
        <f t="shared" si="32"/>
        <v>0.92799999999999994</v>
      </c>
      <c r="F130" s="40">
        <f t="shared" si="34"/>
        <v>0.98799999999999999</v>
      </c>
      <c r="G130" s="40">
        <f t="shared" si="35"/>
        <v>0.98133191052161284</v>
      </c>
      <c r="H130" s="50">
        <f t="shared" si="54"/>
        <v>3.8853834264279117</v>
      </c>
      <c r="I130" s="39">
        <f>IF(indtastning!J$23&gt;4.9,5,IF(indtastning!J$23&lt;indtastning!G146,indtastning!J$23,indtastning!G146))</f>
        <v>3.1</v>
      </c>
      <c r="J130" s="39">
        <f t="shared" si="58"/>
        <v>3.1</v>
      </c>
      <c r="K130" s="42">
        <f t="shared" si="36"/>
        <v>2.8254031472742431</v>
      </c>
      <c r="L130" s="46">
        <f t="shared" si="56"/>
        <v>0.94532265202266808</v>
      </c>
      <c r="M130" s="42">
        <f t="shared" si="59"/>
        <v>2.6709175962144807</v>
      </c>
      <c r="N130" s="39">
        <f>indtastning!D146</f>
        <v>6</v>
      </c>
      <c r="O130" s="48">
        <f t="shared" si="60"/>
        <v>16.025505577286886</v>
      </c>
      <c r="P130" s="39">
        <f t="shared" si="39"/>
        <v>15.815724570189611</v>
      </c>
      <c r="Q130" s="48">
        <f t="shared" si="40"/>
        <v>13.815724570189611</v>
      </c>
      <c r="R130" s="39">
        <f t="shared" si="55"/>
        <v>20.77181921553348</v>
      </c>
      <c r="S130" s="41">
        <f t="shared" si="41"/>
        <v>17.457932967104821</v>
      </c>
      <c r="T130" s="42">
        <f t="shared" si="61"/>
        <v>2.90965549451747</v>
      </c>
      <c r="U130" s="42">
        <f t="shared" si="62"/>
        <v>1.0654182276359478</v>
      </c>
      <c r="V130" s="51">
        <f t="shared" si="63"/>
        <v>740.69965351269536</v>
      </c>
      <c r="W130" s="48">
        <f t="shared" si="64"/>
        <v>200.85511279518946</v>
      </c>
      <c r="X130" s="39">
        <f t="shared" si="65"/>
        <v>2.2435648007486582</v>
      </c>
      <c r="Y130" s="48">
        <f t="shared" si="66"/>
        <v>1994.3937565950046</v>
      </c>
      <c r="Z130" s="39">
        <f t="shared" si="67"/>
        <v>16.619947971625038</v>
      </c>
      <c r="AA130" s="39">
        <f t="shared" si="68"/>
        <v>1.6737926066265787</v>
      </c>
      <c r="AB130" s="39">
        <f>indtastning!F146/indtastning!E146</f>
        <v>1.6990291262135921</v>
      </c>
      <c r="AC130" s="40">
        <f t="shared" si="47"/>
        <v>5.2428640776699025</v>
      </c>
      <c r="AD130" s="40">
        <f t="shared" si="53"/>
        <v>369.21098298048912</v>
      </c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</row>
    <row r="131" spans="1:44" x14ac:dyDescent="0.25">
      <c r="A131" s="28">
        <v>120</v>
      </c>
      <c r="B131" s="41">
        <f t="shared" si="57"/>
        <v>95.508676995646695</v>
      </c>
      <c r="C131" s="39">
        <f>indtastning!E147</f>
        <v>1.03</v>
      </c>
      <c r="D131" s="40">
        <f t="shared" si="33"/>
        <v>0.89800000000000002</v>
      </c>
      <c r="E131" s="40">
        <f t="shared" si="32"/>
        <v>0.92799999999999994</v>
      </c>
      <c r="F131" s="40">
        <f t="shared" si="34"/>
        <v>0.98799999999999999</v>
      </c>
      <c r="G131" s="40">
        <f t="shared" si="35"/>
        <v>0.98261041239477598</v>
      </c>
      <c r="H131" s="50">
        <f t="shared" si="54"/>
        <v>3.9123364864583619</v>
      </c>
      <c r="I131" s="39">
        <f>IF(indtastning!J$23&gt;4.9,5,IF(indtastning!J$23&lt;indtastning!G147,indtastning!J$23,indtastning!G147))</f>
        <v>3.1143000000000001</v>
      </c>
      <c r="J131" s="41">
        <f t="shared" si="58"/>
        <v>3.1143000000000001</v>
      </c>
      <c r="K131" s="40">
        <f t="shared" si="36"/>
        <v>2.8421736193759202</v>
      </c>
      <c r="L131" s="46">
        <f t="shared" si="56"/>
        <v>0.94549869929062602</v>
      </c>
      <c r="M131" s="40">
        <f t="shared" si="59"/>
        <v>2.6872714602780632</v>
      </c>
      <c r="N131" s="39">
        <f>indtastning!D147</f>
        <v>6</v>
      </c>
      <c r="O131" s="45">
        <f t="shared" si="60"/>
        <v>16.123628761668378</v>
      </c>
      <c r="P131" s="39">
        <f t="shared" si="39"/>
        <v>15.820895839567537</v>
      </c>
      <c r="Q131" s="48">
        <f t="shared" si="40"/>
        <v>13.820895839567537</v>
      </c>
      <c r="R131" s="39">
        <f t="shared" si="55"/>
        <v>20.77728540864809</v>
      </c>
      <c r="S131" s="41">
        <f t="shared" si="41"/>
        <v>17.528019408561157</v>
      </c>
      <c r="T131" s="40">
        <f t="shared" si="61"/>
        <v>2.9213365680935262</v>
      </c>
      <c r="U131" s="40">
        <f t="shared" si="62"/>
        <v>1.0660531326701608</v>
      </c>
      <c r="V131" s="44">
        <f t="shared" si="63"/>
        <v>743.40564163038914</v>
      </c>
      <c r="W131" s="45">
        <f t="shared" si="64"/>
        <v>203.96941279518944</v>
      </c>
      <c r="X131" s="41">
        <f t="shared" si="65"/>
        <v>2.2515199144248155</v>
      </c>
      <c r="Y131" s="45">
        <f t="shared" si="66"/>
        <v>2011.9217760035658</v>
      </c>
      <c r="Z131" s="41">
        <f t="shared" si="67"/>
        <v>16.627452694244347</v>
      </c>
      <c r="AA131" s="41">
        <f t="shared" si="68"/>
        <v>1.6856976264065242</v>
      </c>
      <c r="AB131" s="39">
        <f>indtastning!F147/indtastning!E147</f>
        <v>1.6990291262135921</v>
      </c>
      <c r="AC131" s="40">
        <f t="shared" si="47"/>
        <v>5.266990291262136</v>
      </c>
      <c r="AD131" s="40">
        <f t="shared" si="53"/>
        <v>374.47797327175124</v>
      </c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</row>
    <row r="132" spans="1:44" x14ac:dyDescent="0.25">
      <c r="A132" s="28">
        <v>121</v>
      </c>
      <c r="B132" s="41">
        <f t="shared" si="57"/>
        <v>96.574730128316858</v>
      </c>
      <c r="C132" s="39">
        <f>indtastning!E148</f>
        <v>1.03</v>
      </c>
      <c r="D132" s="40">
        <f t="shared" si="33"/>
        <v>0.89800000000000002</v>
      </c>
      <c r="E132" s="40">
        <f t="shared" si="32"/>
        <v>0.92799999999999994</v>
      </c>
      <c r="F132" s="40">
        <f t="shared" si="34"/>
        <v>0.98799999999999999</v>
      </c>
      <c r="G132" s="40">
        <f t="shared" si="35"/>
        <v>0.98388967615398026</v>
      </c>
      <c r="H132" s="50">
        <f t="shared" si="54"/>
        <v>3.9388707814716306</v>
      </c>
      <c r="I132" s="39">
        <f>IF(indtastning!J$23&gt;4.9,5,IF(indtastning!J$23&lt;indtastning!G148,indtastning!J$23,indtastning!G148))</f>
        <v>3.1286</v>
      </c>
      <c r="J132" s="41">
        <f t="shared" si="58"/>
        <v>3.1286</v>
      </c>
      <c r="K132" s="40">
        <f t="shared" si="36"/>
        <v>2.8589540853531359</v>
      </c>
      <c r="L132" s="46">
        <f t="shared" si="56"/>
        <v>0.94568631735610875</v>
      </c>
      <c r="M132" s="40">
        <f t="shared" si="59"/>
        <v>2.7036737604678094</v>
      </c>
      <c r="N132" s="39">
        <f>indtastning!D148</f>
        <v>6</v>
      </c>
      <c r="O132" s="45">
        <f t="shared" si="60"/>
        <v>16.222042562806855</v>
      </c>
      <c r="P132" s="39">
        <f t="shared" si="39"/>
        <v>15.826047146317652</v>
      </c>
      <c r="Q132" s="48">
        <f t="shared" si="40"/>
        <v>13.826047146317652</v>
      </c>
      <c r="R132" s="39">
        <f t="shared" si="55"/>
        <v>20.7827244279467</v>
      </c>
      <c r="S132" s="41">
        <f t="shared" si="41"/>
        <v>17.598288232583219</v>
      </c>
      <c r="T132" s="40">
        <f t="shared" si="61"/>
        <v>2.9330480387638698</v>
      </c>
      <c r="U132" s="40">
        <f t="shared" si="62"/>
        <v>1.0666719258094883</v>
      </c>
      <c r="V132" s="44">
        <f t="shared" si="63"/>
        <v>746.07214982080052</v>
      </c>
      <c r="W132" s="45">
        <f t="shared" si="64"/>
        <v>207.09801279518945</v>
      </c>
      <c r="X132" s="41">
        <f t="shared" si="65"/>
        <v>2.2594297707150885</v>
      </c>
      <c r="Y132" s="45">
        <f t="shared" si="66"/>
        <v>2029.520064236149</v>
      </c>
      <c r="Z132" s="41">
        <f t="shared" si="67"/>
        <v>16.635410362591387</v>
      </c>
      <c r="AA132" s="41">
        <f t="shared" si="68"/>
        <v>1.6975246950425364</v>
      </c>
      <c r="AB132" s="39">
        <f>indtastning!F148/indtastning!E148</f>
        <v>1.6990291262135921</v>
      </c>
      <c r="AC132" s="40">
        <f t="shared" si="47"/>
        <v>5.2912864077669903</v>
      </c>
      <c r="AD132" s="40">
        <f t="shared" si="53"/>
        <v>379.76925967951826</v>
      </c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</row>
    <row r="133" spans="1:44" x14ac:dyDescent="0.25">
      <c r="A133" s="28">
        <v>122</v>
      </c>
      <c r="B133" s="41">
        <f t="shared" si="57"/>
        <v>97.641402054126345</v>
      </c>
      <c r="C133" s="39">
        <f>indtastning!E149</f>
        <v>1.03</v>
      </c>
      <c r="D133" s="40">
        <f t="shared" si="33"/>
        <v>0.89800000000000002</v>
      </c>
      <c r="E133" s="40">
        <f t="shared" si="32"/>
        <v>0.92799999999999994</v>
      </c>
      <c r="F133" s="40">
        <f t="shared" si="34"/>
        <v>0.98799999999999999</v>
      </c>
      <c r="G133" s="40">
        <f t="shared" si="35"/>
        <v>0.98516968246495162</v>
      </c>
      <c r="H133" s="50">
        <f t="shared" si="54"/>
        <v>3.964983222432231</v>
      </c>
      <c r="I133" s="39">
        <f>IF(indtastning!J$23&gt;4.9,5,IF(indtastning!J$23&lt;indtastning!G149,indtastning!J$23,indtastning!G149))</f>
        <v>3.1429</v>
      </c>
      <c r="J133" s="41">
        <f t="shared" si="58"/>
        <v>3.1429</v>
      </c>
      <c r="K133" s="40">
        <f t="shared" si="36"/>
        <v>2.8757442915927296</v>
      </c>
      <c r="L133" s="46">
        <f t="shared" si="56"/>
        <v>0.94588525906478471</v>
      </c>
      <c r="M133" s="40">
        <f t="shared" si="59"/>
        <v>2.7201241342572646</v>
      </c>
      <c r="N133" s="39">
        <f>indtastning!D149</f>
        <v>6</v>
      </c>
      <c r="O133" s="45">
        <f t="shared" si="60"/>
        <v>16.320744805543587</v>
      </c>
      <c r="P133" s="39">
        <f t="shared" si="39"/>
        <v>15.831178727692429</v>
      </c>
      <c r="Q133" s="48">
        <f t="shared" si="40"/>
        <v>13.831178727692429</v>
      </c>
      <c r="R133" s="39">
        <f t="shared" si="55"/>
        <v>20.788136640622774</v>
      </c>
      <c r="S133" s="41">
        <f t="shared" si="41"/>
        <v>17.668738207384152</v>
      </c>
      <c r="T133" s="40">
        <f t="shared" si="61"/>
        <v>2.9447897012306918</v>
      </c>
      <c r="U133" s="40">
        <f t="shared" si="62"/>
        <v>1.0672748545291753</v>
      </c>
      <c r="V133" s="44">
        <f t="shared" si="63"/>
        <v>748.7000168371012</v>
      </c>
      <c r="W133" s="45">
        <f t="shared" si="64"/>
        <v>210.24091279518944</v>
      </c>
      <c r="X133" s="41">
        <f t="shared" si="65"/>
        <v>2.2672961892184333</v>
      </c>
      <c r="Y133" s="45">
        <f t="shared" si="66"/>
        <v>2047.1888024435332</v>
      </c>
      <c r="Z133" s="41">
        <f t="shared" si="67"/>
        <v>16.643811401979946</v>
      </c>
      <c r="AA133" s="41">
        <f t="shared" si="68"/>
        <v>1.709275713782028</v>
      </c>
      <c r="AB133" s="39">
        <f>indtastning!F149/indtastning!E149</f>
        <v>1.6990291262135921</v>
      </c>
      <c r="AC133" s="40">
        <f t="shared" si="47"/>
        <v>5.3155825242718446</v>
      </c>
      <c r="AD133" s="40">
        <f t="shared" si="53"/>
        <v>385.08484220379012</v>
      </c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</row>
    <row r="134" spans="1:44" x14ac:dyDescent="0.25">
      <c r="A134" s="28">
        <v>123</v>
      </c>
      <c r="B134" s="41">
        <f t="shared" si="57"/>
        <v>98.708676908655519</v>
      </c>
      <c r="C134" s="39">
        <f>indtastning!E150</f>
        <v>1.03</v>
      </c>
      <c r="D134" s="40">
        <f t="shared" si="33"/>
        <v>0.89800000000000002</v>
      </c>
      <c r="E134" s="40">
        <f t="shared" si="32"/>
        <v>0.92799999999999994</v>
      </c>
      <c r="F134" s="40">
        <f t="shared" si="34"/>
        <v>0.98799999999999999</v>
      </c>
      <c r="G134" s="40">
        <f t="shared" si="35"/>
        <v>0.98645041229038666</v>
      </c>
      <c r="H134" s="50">
        <f t="shared" si="54"/>
        <v>3.9906707454995156</v>
      </c>
      <c r="I134" s="39">
        <f>IF(indtastning!J$23&gt;4.9,5,IF(indtastning!J$23&lt;indtastning!G150,indtastning!J$23,indtastning!G150))</f>
        <v>3.1572</v>
      </c>
      <c r="J134" s="41">
        <f t="shared" si="58"/>
        <v>3.1572</v>
      </c>
      <c r="K134" s="40">
        <f t="shared" si="36"/>
        <v>2.8925439883769855</v>
      </c>
      <c r="L134" s="46">
        <f t="shared" si="56"/>
        <v>0.94609528504949869</v>
      </c>
      <c r="M134" s="40">
        <f t="shared" si="59"/>
        <v>2.7366222292017377</v>
      </c>
      <c r="N134" s="39">
        <f>indtastning!D150</f>
        <v>6</v>
      </c>
      <c r="O134" s="45">
        <f t="shared" si="60"/>
        <v>16.419733375210427</v>
      </c>
      <c r="P134" s="39">
        <f t="shared" si="39"/>
        <v>15.836290815394211</v>
      </c>
      <c r="Q134" s="48">
        <f t="shared" si="40"/>
        <v>13.836290815394211</v>
      </c>
      <c r="R134" s="39">
        <f t="shared" si="55"/>
        <v>20.793522404924296</v>
      </c>
      <c r="S134" s="41">
        <f t="shared" si="41"/>
        <v>17.739368137282938</v>
      </c>
      <c r="T134" s="40">
        <f t="shared" si="61"/>
        <v>2.9565613562138231</v>
      </c>
      <c r="U134" s="40">
        <f t="shared" si="62"/>
        <v>1.0678621613464889</v>
      </c>
      <c r="V134" s="44">
        <f t="shared" si="63"/>
        <v>751.29005616793108</v>
      </c>
      <c r="W134" s="45">
        <f t="shared" si="64"/>
        <v>213.39811279518943</v>
      </c>
      <c r="X134" s="41">
        <f t="shared" si="65"/>
        <v>2.2751209066980711</v>
      </c>
      <c r="Y134" s="45">
        <f t="shared" si="66"/>
        <v>2064.9281705808162</v>
      </c>
      <c r="Z134" s="41">
        <f t="shared" si="67"/>
        <v>16.652646536942065</v>
      </c>
      <c r="AA134" s="41">
        <f t="shared" si="68"/>
        <v>1.7209525225418503</v>
      </c>
      <c r="AB134" s="39">
        <f>indtastning!F150/indtastning!E150</f>
        <v>1.6990291262135921</v>
      </c>
      <c r="AC134" s="40">
        <f t="shared" si="47"/>
        <v>5.3398786407766989</v>
      </c>
      <c r="AD134" s="40">
        <f t="shared" si="53"/>
        <v>390.42472084456682</v>
      </c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</row>
    <row r="135" spans="1:44" x14ac:dyDescent="0.25">
      <c r="A135" s="28">
        <v>124</v>
      </c>
      <c r="B135" s="41">
        <f t="shared" si="57"/>
        <v>99.776539070002002</v>
      </c>
      <c r="C135" s="39">
        <f>indtastning!E151</f>
        <v>1.03</v>
      </c>
      <c r="D135" s="40">
        <f t="shared" si="33"/>
        <v>0.89800000000000002</v>
      </c>
      <c r="E135" s="40">
        <f t="shared" si="32"/>
        <v>0.92799999999999994</v>
      </c>
      <c r="F135" s="40">
        <f t="shared" si="34"/>
        <v>0.98799999999999999</v>
      </c>
      <c r="G135" s="40">
        <f t="shared" si="35"/>
        <v>0.9877318468840024</v>
      </c>
      <c r="H135" s="50">
        <f t="shared" si="54"/>
        <v>4.0159303117167298</v>
      </c>
      <c r="I135" s="39">
        <f>IF(indtastning!J$23&gt;4.9,5,IF(indtastning!J$23&lt;indtastning!G151,indtastning!J$23,indtastning!G151))</f>
        <v>3.1715</v>
      </c>
      <c r="J135" s="41">
        <f t="shared" si="58"/>
        <v>3.1715</v>
      </c>
      <c r="K135" s="40">
        <f t="shared" si="36"/>
        <v>2.9093529298055874</v>
      </c>
      <c r="L135" s="46">
        <f t="shared" si="56"/>
        <v>0.94631616342355163</v>
      </c>
      <c r="M135" s="40">
        <f t="shared" si="59"/>
        <v>2.7531677025786929</v>
      </c>
      <c r="N135" s="39">
        <f>indtastning!D151</f>
        <v>6</v>
      </c>
      <c r="O135" s="45">
        <f t="shared" si="60"/>
        <v>16.519006215472157</v>
      </c>
      <c r="P135" s="39">
        <f t="shared" si="39"/>
        <v>15.841383635766682</v>
      </c>
      <c r="Q135" s="48">
        <f t="shared" si="40"/>
        <v>13.841383635766682</v>
      </c>
      <c r="R135" s="39">
        <f t="shared" si="55"/>
        <v>20.798882070466789</v>
      </c>
      <c r="S135" s="41">
        <f t="shared" si="41"/>
        <v>17.810176861394545</v>
      </c>
      <c r="T135" s="40">
        <f t="shared" si="61"/>
        <v>2.9683628102324242</v>
      </c>
      <c r="U135" s="40">
        <f t="shared" si="62"/>
        <v>1.0684340839560882</v>
      </c>
      <c r="V135" s="44">
        <f t="shared" si="63"/>
        <v>753.84305701614517</v>
      </c>
      <c r="W135" s="45">
        <f t="shared" si="64"/>
        <v>216.56961279518944</v>
      </c>
      <c r="X135" s="41">
        <f t="shared" si="65"/>
        <v>2.2829055816388482</v>
      </c>
      <c r="Y135" s="45">
        <f t="shared" si="66"/>
        <v>2082.7383474422109</v>
      </c>
      <c r="Z135" s="41">
        <f t="shared" si="67"/>
        <v>16.661906779537688</v>
      </c>
      <c r="AA135" s="41">
        <f t="shared" si="68"/>
        <v>1.7325569023615155</v>
      </c>
      <c r="AB135" s="39">
        <f>indtastning!F151/indtastning!E151</f>
        <v>1.6990291262135921</v>
      </c>
      <c r="AC135" s="40">
        <f t="shared" si="47"/>
        <v>5.3641747572815532</v>
      </c>
      <c r="AD135" s="40">
        <f t="shared" si="53"/>
        <v>395.78889560184837</v>
      </c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</row>
    <row r="136" spans="1:44" x14ac:dyDescent="0.25">
      <c r="A136" s="28">
        <v>125</v>
      </c>
      <c r="B136" s="41">
        <f t="shared" si="57"/>
        <v>100.84497315395809</v>
      </c>
      <c r="C136" s="39">
        <f>indtastning!E152</f>
        <v>1.03</v>
      </c>
      <c r="D136" s="40">
        <f t="shared" si="33"/>
        <v>0.89800000000000002</v>
      </c>
      <c r="E136" s="40">
        <f t="shared" si="32"/>
        <v>0.92799999999999994</v>
      </c>
      <c r="F136" s="40">
        <f t="shared" si="34"/>
        <v>0.98799999999999999</v>
      </c>
      <c r="G136" s="40">
        <f t="shared" si="35"/>
        <v>0.98799999999999999</v>
      </c>
      <c r="H136" s="50">
        <f t="shared" si="54"/>
        <v>4.0366161953906934</v>
      </c>
      <c r="I136" s="39">
        <f>IF(indtastning!J$23&gt;4.9,5,IF(indtastning!J$23&lt;indtastning!G152,indtastning!J$23,indtastning!G152))</f>
        <v>3.1858</v>
      </c>
      <c r="J136" s="41">
        <f t="shared" si="58"/>
        <v>3.1858</v>
      </c>
      <c r="K136" s="40">
        <f t="shared" si="36"/>
        <v>2.9261708737197107</v>
      </c>
      <c r="L136" s="46">
        <f t="shared" si="56"/>
        <v>0.94654766948844227</v>
      </c>
      <c r="M136" s="40">
        <f t="shared" si="59"/>
        <v>2.769760221044351</v>
      </c>
      <c r="N136" s="39">
        <f>indtastning!D152</f>
        <v>6</v>
      </c>
      <c r="O136" s="45">
        <f t="shared" si="60"/>
        <v>16.618561326266107</v>
      </c>
      <c r="P136" s="39">
        <f t="shared" si="39"/>
        <v>15.84645740997779</v>
      </c>
      <c r="Q136" s="48">
        <f t="shared" si="40"/>
        <v>13.84645740997779</v>
      </c>
      <c r="R136" s="39">
        <f t="shared" si="55"/>
        <v>20.804215978532298</v>
      </c>
      <c r="S136" s="41">
        <f t="shared" si="41"/>
        <v>17.881163252379562</v>
      </c>
      <c r="T136" s="40">
        <f t="shared" si="61"/>
        <v>2.9801938753965938</v>
      </c>
      <c r="U136" s="40">
        <f t="shared" si="62"/>
        <v>1.06899085536039</v>
      </c>
      <c r="V136" s="44">
        <f t="shared" si="63"/>
        <v>756.35978523166477</v>
      </c>
      <c r="W136" s="45">
        <f t="shared" si="64"/>
        <v>219.75541279518944</v>
      </c>
      <c r="X136" s="41">
        <f t="shared" si="65"/>
        <v>2.2906517985099542</v>
      </c>
      <c r="Y136" s="45">
        <f t="shared" si="66"/>
        <v>2100.6195106945902</v>
      </c>
      <c r="Z136" s="41">
        <f t="shared" si="67"/>
        <v>16.671583418211032</v>
      </c>
      <c r="AA136" s="41">
        <f t="shared" si="68"/>
        <v>1.7440905777395987</v>
      </c>
      <c r="AB136" s="39">
        <f>indtastning!F152/indtastning!E152</f>
        <v>1.6990291262135921</v>
      </c>
      <c r="AC136" s="40">
        <f t="shared" si="47"/>
        <v>5.3884708737864075</v>
      </c>
      <c r="AD136" s="40">
        <f t="shared" si="53"/>
        <v>401.17736647563476</v>
      </c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</row>
    <row r="137" spans="1:44" x14ac:dyDescent="0.25">
      <c r="A137" s="37">
        <v>126</v>
      </c>
      <c r="B137" s="39">
        <f t="shared" si="57"/>
        <v>101.91396400931848</v>
      </c>
      <c r="C137" s="39">
        <f>indtastning!E153</f>
        <v>1.03</v>
      </c>
      <c r="D137" s="40">
        <f t="shared" si="33"/>
        <v>0.89800000000000002</v>
      </c>
      <c r="E137" s="40">
        <f t="shared" si="32"/>
        <v>0.92799999999999994</v>
      </c>
      <c r="F137" s="40">
        <f t="shared" si="34"/>
        <v>0.98799999999999999</v>
      </c>
      <c r="G137" s="40">
        <f t="shared" si="35"/>
        <v>0.98799999999999999</v>
      </c>
      <c r="H137" s="50">
        <f t="shared" si="54"/>
        <v>4.0557253876419166</v>
      </c>
      <c r="I137" s="39">
        <f>IF(indtastning!J$23&gt;4.9,5,IF(indtastning!J$23&lt;indtastning!G153,indtastning!J$23,indtastning!G153))</f>
        <v>3.2</v>
      </c>
      <c r="J137" s="39">
        <f t="shared" si="58"/>
        <v>3.2</v>
      </c>
      <c r="K137" s="42">
        <f t="shared" si="36"/>
        <v>2.9429975816281613</v>
      </c>
      <c r="L137" s="46">
        <f t="shared" si="56"/>
        <v>0.94678958545527581</v>
      </c>
      <c r="M137" s="42">
        <f t="shared" si="59"/>
        <v>2.7863994603056059</v>
      </c>
      <c r="N137" s="39">
        <f>indtastning!D153</f>
        <v>6</v>
      </c>
      <c r="O137" s="48">
        <f t="shared" si="60"/>
        <v>16.718396761833635</v>
      </c>
      <c r="P137" s="39">
        <f t="shared" si="39"/>
        <v>15.851512354194599</v>
      </c>
      <c r="Q137" s="48">
        <f t="shared" si="40"/>
        <v>13.851512354194599</v>
      </c>
      <c r="R137" s="39">
        <f t="shared" si="55"/>
        <v>20.809524462355018</v>
      </c>
      <c r="S137" s="41">
        <f t="shared" si="41"/>
        <v>17.952326215250036</v>
      </c>
      <c r="T137" s="42">
        <f t="shared" si="61"/>
        <v>2.9920543692083394</v>
      </c>
      <c r="U137" s="42">
        <f t="shared" si="62"/>
        <v>1.0694992821426172</v>
      </c>
      <c r="V137" s="51">
        <f t="shared" si="63"/>
        <v>758.84098420094028</v>
      </c>
      <c r="W137" s="48">
        <f t="shared" si="64"/>
        <v>222.95541279518943</v>
      </c>
      <c r="X137" s="39">
        <f t="shared" si="65"/>
        <v>2.298361071754877</v>
      </c>
      <c r="Y137" s="48">
        <f t="shared" si="66"/>
        <v>2118.5718369098404</v>
      </c>
      <c r="Z137" s="39">
        <f t="shared" si="67"/>
        <v>16.681668007164099</v>
      </c>
      <c r="AA137" s="39">
        <f t="shared" si="68"/>
        <v>1.7555544314581846</v>
      </c>
      <c r="AB137" s="39">
        <f>indtastning!F153/indtastning!E153</f>
        <v>1.6990291262135921</v>
      </c>
      <c r="AC137" s="40">
        <f t="shared" si="47"/>
        <v>5.4127669902912618</v>
      </c>
      <c r="AD137" s="40">
        <f t="shared" si="53"/>
        <v>406.59013346592604</v>
      </c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</row>
    <row r="138" spans="1:44" x14ac:dyDescent="0.25">
      <c r="A138" s="28">
        <v>127</v>
      </c>
      <c r="B138" s="41">
        <f t="shared" ref="B138:B151" si="69">B137+U137</f>
        <v>102.98346329146109</v>
      </c>
      <c r="C138" s="39">
        <f>indtastning!E154</f>
        <v>1.03</v>
      </c>
      <c r="D138" s="40">
        <f t="shared" si="33"/>
        <v>0.89800000000000002</v>
      </c>
      <c r="E138" s="40">
        <f t="shared" si="32"/>
        <v>0.92799999999999994</v>
      </c>
      <c r="F138" s="40">
        <f t="shared" si="34"/>
        <v>0.98799999999999999</v>
      </c>
      <c r="G138" s="40">
        <f t="shared" si="35"/>
        <v>0.98799999999999999</v>
      </c>
      <c r="H138" s="50">
        <f t="shared" si="54"/>
        <v>4.0743465414616686</v>
      </c>
      <c r="I138" s="39">
        <f>IF(indtastning!J$23&gt;4.9,5,IF(indtastning!J$23&lt;indtastning!G154,indtastning!J$23,indtastning!G154))</f>
        <v>3.2286000000000001</v>
      </c>
      <c r="J138" s="41">
        <f t="shared" ref="J138:J151" si="70">IF(I138&lt;H138,I138,H138)</f>
        <v>3.2286000000000001</v>
      </c>
      <c r="K138" s="40">
        <f t="shared" si="36"/>
        <v>2.9598322925507765</v>
      </c>
      <c r="L138" s="46">
        <f t="shared" si="56"/>
        <v>0.9470417001791025</v>
      </c>
      <c r="M138" s="40">
        <f t="shared" ref="M138:M151" si="71">K138*L138</f>
        <v>2.8030846065822983</v>
      </c>
      <c r="N138" s="39">
        <f>indtastning!D154</f>
        <v>6</v>
      </c>
      <c r="O138" s="45">
        <f t="shared" ref="O138:O151" si="72">M138*N138</f>
        <v>16.818507639493788</v>
      </c>
      <c r="P138" s="39">
        <f t="shared" si="39"/>
        <v>15.856548522698043</v>
      </c>
      <c r="Q138" s="48">
        <f t="shared" si="40"/>
        <v>13.856548522698043</v>
      </c>
      <c r="R138" s="39">
        <f t="shared" si="55"/>
        <v>20.814807682723487</v>
      </c>
      <c r="S138" s="41">
        <f t="shared" si="41"/>
        <v>18.023662555375321</v>
      </c>
      <c r="T138" s="40">
        <f t="shared" ref="T138:T151" si="73">S138/N138</f>
        <v>3.00394375922922</v>
      </c>
      <c r="U138" s="40">
        <f t="shared" ref="U138:U151" si="74">J138/T138</f>
        <v>1.0747870994856523</v>
      </c>
      <c r="V138" s="44">
        <f t="shared" ref="V138:V151" si="75">(B138-$B$11)/(A138-$A$11)*1000</f>
        <v>761.28711253118979</v>
      </c>
      <c r="W138" s="45">
        <f t="shared" ref="W138:W151" si="76">W137+J138</f>
        <v>226.18401279518943</v>
      </c>
      <c r="X138" s="41">
        <f t="shared" ref="X138:X151" si="77">(W137/(B138-$B$11))</f>
        <v>2.3060346123831961</v>
      </c>
      <c r="Y138" s="45">
        <f t="shared" ref="Y138:Y151" si="78">S138+Y137</f>
        <v>2136.5954994652157</v>
      </c>
      <c r="Z138" s="41">
        <f t="shared" ref="Z138:Z151" si="79">Y138/(A139-$A$11)</f>
        <v>16.692152339571997</v>
      </c>
      <c r="AA138" s="41">
        <f t="shared" ref="AA138:AA151" si="80">W138/A139</f>
        <v>1.7670625999624174</v>
      </c>
      <c r="AB138" s="39">
        <f>indtastning!F154/indtastning!E154</f>
        <v>1.6990291262135921</v>
      </c>
      <c r="AC138" s="40">
        <f t="shared" si="47"/>
        <v>5.4368932038834954</v>
      </c>
      <c r="AD138" s="40">
        <f t="shared" si="53"/>
        <v>412.02702666980952</v>
      </c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</row>
    <row r="139" spans="1:44" x14ac:dyDescent="0.25">
      <c r="A139" s="28">
        <v>128</v>
      </c>
      <c r="B139" s="41">
        <f t="shared" si="69"/>
        <v>104.05825039094674</v>
      </c>
      <c r="C139" s="39">
        <f>indtastning!E155</f>
        <v>1.03</v>
      </c>
      <c r="D139" s="40">
        <f t="shared" si="33"/>
        <v>0.89800000000000002</v>
      </c>
      <c r="E139" s="40">
        <f t="shared" ref="E139:E180" si="81">IF(C139&gt;1.12,1,IF(C139&gt;1.1,1-(1.12-C139)*0.5,IF(C139&gt;1.05,0.99-(1.1-C139)*0.8,IF(C139&gt;1,0.95-(1.05-C139)*1.1,IF(C139&lt;1.01,0.9-(1-C139)*1.4,0.8)))))</f>
        <v>0.92799999999999994</v>
      </c>
      <c r="F139" s="40">
        <f t="shared" si="34"/>
        <v>0.98799999999999999</v>
      </c>
      <c r="G139" s="40">
        <f t="shared" si="35"/>
        <v>0.98799999999999999</v>
      </c>
      <c r="H139" s="50">
        <f t="shared" si="54"/>
        <v>4.0925588229572005</v>
      </c>
      <c r="I139" s="39">
        <f>IF(indtastning!J$23&gt;4.9,5,IF(indtastning!J$23&lt;indtastning!G155,indtastning!J$23,indtastning!G155))</f>
        <v>3.2572000000000001</v>
      </c>
      <c r="J139" s="41">
        <f t="shared" si="70"/>
        <v>3.2572000000000001</v>
      </c>
      <c r="K139" s="40">
        <f t="shared" si="36"/>
        <v>2.9767502376352728</v>
      </c>
      <c r="L139" s="46">
        <f t="shared" si="56"/>
        <v>0.94730380848929996</v>
      </c>
      <c r="M139" s="40">
        <f t="shared" si="71"/>
        <v>2.8198868370333225</v>
      </c>
      <c r="N139" s="39">
        <f>indtastning!D155</f>
        <v>6</v>
      </c>
      <c r="O139" s="45">
        <f t="shared" si="72"/>
        <v>16.919321022199934</v>
      </c>
      <c r="P139" s="39">
        <f t="shared" si="39"/>
        <v>15.861588558817987</v>
      </c>
      <c r="Q139" s="48">
        <f t="shared" si="40"/>
        <v>13.861588558817987</v>
      </c>
      <c r="R139" s="39">
        <f t="shared" si="55"/>
        <v>20.820089458777744</v>
      </c>
      <c r="S139" s="41">
        <f t="shared" si="41"/>
        <v>18.095476877905153</v>
      </c>
      <c r="T139" s="40">
        <f t="shared" si="73"/>
        <v>3.0159128129841921</v>
      </c>
      <c r="U139" s="40">
        <f t="shared" si="74"/>
        <v>1.0800046957514857</v>
      </c>
      <c r="V139" s="44">
        <f t="shared" si="75"/>
        <v>763.73633117927147</v>
      </c>
      <c r="W139" s="45">
        <f t="shared" si="76"/>
        <v>229.44121279518944</v>
      </c>
      <c r="X139" s="41">
        <f t="shared" si="77"/>
        <v>2.3137076603831694</v>
      </c>
      <c r="Y139" s="45">
        <f t="shared" si="78"/>
        <v>2154.6909763431208</v>
      </c>
      <c r="Z139" s="41">
        <f t="shared" si="79"/>
        <v>16.703030824365278</v>
      </c>
      <c r="AA139" s="41">
        <f t="shared" si="80"/>
        <v>1.7786140526758871</v>
      </c>
      <c r="AB139" s="39">
        <f>indtastning!F155/indtastning!E155</f>
        <v>1.6990291262135921</v>
      </c>
      <c r="AC139" s="40">
        <f t="shared" si="47"/>
        <v>5.485485436893204</v>
      </c>
      <c r="AD139" s="40">
        <f t="shared" si="53"/>
        <v>417.51251210670273</v>
      </c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</row>
    <row r="140" spans="1:44" x14ac:dyDescent="0.25">
      <c r="A140" s="28">
        <v>129</v>
      </c>
      <c r="B140" s="41">
        <f t="shared" si="69"/>
        <v>105.13825508669822</v>
      </c>
      <c r="C140" s="39">
        <f>indtastning!E156</f>
        <v>1.03</v>
      </c>
      <c r="D140" s="40">
        <f t="shared" ref="D140:D203" si="82">IF(C140&gt;1.16,1,IF(C140&gt;1.1,1-(1.16-C140)*0.5,IF(C140&gt;1.05,0.967-(1.1-C140)*0.9,IF(C140&gt;1,0.92-(1.05-C140)*1.1,IF(C140&lt;1.01,0.86-(1-C140)*1.5,0.8)))))</f>
        <v>0.89800000000000002</v>
      </c>
      <c r="E140" s="40">
        <f t="shared" si="81"/>
        <v>0.92799999999999994</v>
      </c>
      <c r="F140" s="40">
        <f t="shared" ref="F140:F180" si="83">IF(C140&gt;1.12,1,IF(C140&gt;1.07,1,IF(C140&gt;1.02,1-(1.07-C140)*0.3,IF(C140&gt;0.98,0.985-(1.02-C140)*0.8,IF(C140&lt;0.9801,0.97-(1-C140)*1.1,0.8)))))</f>
        <v>0.98799999999999999</v>
      </c>
      <c r="G140" s="40">
        <f t="shared" ref="G140:G203" si="84">IF(B140&lt;10.01,D140, IF(B140&lt;20.01,D140+(B140-10)/10*(E140-D140),IF(B140&lt;50.01,E140,IF(B140&lt;100.01,F140+(100-B140)/50*(E140-F140),F140))))</f>
        <v>0.98799999999999999</v>
      </c>
      <c r="H140" s="50">
        <f t="shared" si="54"/>
        <v>4.1103536797023734</v>
      </c>
      <c r="I140" s="39">
        <f>IF(indtastning!J$23&gt;4.9,5,IF(indtastning!J$23&lt;indtastning!G156,indtastning!J$23,indtastning!G156))</f>
        <v>3.2858000000000001</v>
      </c>
      <c r="J140" s="41">
        <f t="shared" si="70"/>
        <v>3.2858000000000001</v>
      </c>
      <c r="K140" s="40">
        <f t="shared" ref="K140:K180" si="85">$I$5+$I$4*B140</f>
        <v>2.9937503115498796</v>
      </c>
      <c r="L140" s="46">
        <f t="shared" si="56"/>
        <v>0.94757577060913201</v>
      </c>
      <c r="M140" s="40">
        <f t="shared" si="71"/>
        <v>2.836805258478206</v>
      </c>
      <c r="N140" s="39">
        <f>indtastning!D156</f>
        <v>6</v>
      </c>
      <c r="O140" s="45">
        <f t="shared" si="72"/>
        <v>17.020831550869236</v>
      </c>
      <c r="P140" s="39">
        <f t="shared" ref="P140:P203" si="86">15.05+0.05*POWER(B140,0.6)</f>
        <v>15.866632130607178</v>
      </c>
      <c r="Q140" s="48">
        <f t="shared" ref="Q140:Q203" si="87">P140-2</f>
        <v>13.866632130607178</v>
      </c>
      <c r="R140" s="39">
        <f t="shared" si="55"/>
        <v>20.825369470418828</v>
      </c>
      <c r="S140" s="41">
        <f t="shared" ref="S140:S203" si="88">IF(O140&lt;Q140,P140,IF(O140&lt;R140,P140+(O140-13.2)*0.705-(B140-7)*0.004,O140))</f>
        <v>18.167765353623196</v>
      </c>
      <c r="T140" s="40">
        <f t="shared" si="73"/>
        <v>3.0279608922705328</v>
      </c>
      <c r="U140" s="40">
        <f t="shared" si="74"/>
        <v>1.0851527205611051</v>
      </c>
      <c r="V140" s="44">
        <f t="shared" si="75"/>
        <v>766.18802392789325</v>
      </c>
      <c r="W140" s="45">
        <f t="shared" si="76"/>
        <v>232.72701279518944</v>
      </c>
      <c r="X140" s="41">
        <f t="shared" si="77"/>
        <v>2.3213806495666063</v>
      </c>
      <c r="Y140" s="45">
        <f t="shared" si="78"/>
        <v>2172.8587416967439</v>
      </c>
      <c r="Z140" s="41">
        <f t="shared" si="79"/>
        <v>16.714298013051877</v>
      </c>
      <c r="AA140" s="41">
        <f t="shared" si="80"/>
        <v>1.7902077907322265</v>
      </c>
      <c r="AB140" s="39">
        <f>indtastning!F156/indtastning!E156</f>
        <v>1.6990291262135921</v>
      </c>
      <c r="AC140" s="40">
        <f t="shared" si="47"/>
        <v>5.5340776699029126</v>
      </c>
      <c r="AD140" s="40">
        <f t="shared" si="53"/>
        <v>423.04658977660563</v>
      </c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</row>
    <row r="141" spans="1:44" x14ac:dyDescent="0.25">
      <c r="A141" s="28">
        <v>130</v>
      </c>
      <c r="B141" s="41">
        <f t="shared" si="69"/>
        <v>106.22340780725933</v>
      </c>
      <c r="C141" s="39">
        <f>indtastning!E157</f>
        <v>1.03</v>
      </c>
      <c r="D141" s="40">
        <f t="shared" si="82"/>
        <v>0.89800000000000002</v>
      </c>
      <c r="E141" s="40">
        <f t="shared" si="81"/>
        <v>0.92799999999999994</v>
      </c>
      <c r="F141" s="40">
        <f t="shared" si="83"/>
        <v>0.98799999999999999</v>
      </c>
      <c r="G141" s="40">
        <f t="shared" si="84"/>
        <v>0.98799999999999999</v>
      </c>
      <c r="H141" s="50">
        <f t="shared" si="54"/>
        <v>4.1277226655665027</v>
      </c>
      <c r="I141" s="39">
        <f>IF(indtastning!J$23&gt;4.9,5,IF(indtastning!J$23&lt;indtastning!G157,indtastning!J$23,indtastning!G157))</f>
        <v>3.3144</v>
      </c>
      <c r="J141" s="41">
        <f t="shared" si="70"/>
        <v>3.3144</v>
      </c>
      <c r="K141" s="40">
        <f t="shared" si="85"/>
        <v>3.0108314191883414</v>
      </c>
      <c r="L141" s="46">
        <f t="shared" si="56"/>
        <v>0.94785745032629698</v>
      </c>
      <c r="M141" s="40">
        <f t="shared" si="71"/>
        <v>2.8538389923541674</v>
      </c>
      <c r="N141" s="39">
        <f>indtastning!D157</f>
        <v>6</v>
      </c>
      <c r="O141" s="45">
        <f t="shared" si="72"/>
        <v>17.123033954125006</v>
      </c>
      <c r="P141" s="39">
        <f t="shared" si="86"/>
        <v>15.871678914381967</v>
      </c>
      <c r="Q141" s="48">
        <f t="shared" si="87"/>
        <v>13.871678914381967</v>
      </c>
      <c r="R141" s="39">
        <f t="shared" si="55"/>
        <v>20.830647407250702</v>
      </c>
      <c r="S141" s="41">
        <f t="shared" si="88"/>
        <v>18.240524220811057</v>
      </c>
      <c r="T141" s="40">
        <f t="shared" si="73"/>
        <v>3.040087370135176</v>
      </c>
      <c r="U141" s="40">
        <f t="shared" si="74"/>
        <v>1.0902318244401727</v>
      </c>
      <c r="V141" s="44">
        <f t="shared" si="75"/>
        <v>768.64159851737952</v>
      </c>
      <c r="W141" s="45">
        <f t="shared" si="76"/>
        <v>236.04141279518944</v>
      </c>
      <c r="X141" s="41">
        <f t="shared" si="77"/>
        <v>2.3290540014817434</v>
      </c>
      <c r="Y141" s="45">
        <f t="shared" si="78"/>
        <v>2191.0992659175549</v>
      </c>
      <c r="Z141" s="41">
        <f t="shared" si="79"/>
        <v>16.725948594790495</v>
      </c>
      <c r="AA141" s="41">
        <f t="shared" si="80"/>
        <v>1.801842845764805</v>
      </c>
      <c r="AB141" s="39">
        <f>indtastning!F157/indtastning!E157</f>
        <v>1.6990291262135921</v>
      </c>
      <c r="AC141" s="40">
        <f t="shared" ref="AC141:AC204" si="89">J140*AB140</f>
        <v>5.5826699029126212</v>
      </c>
      <c r="AD141" s="40">
        <f t="shared" si="53"/>
        <v>428.62925967951827</v>
      </c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</row>
    <row r="142" spans="1:44" x14ac:dyDescent="0.25">
      <c r="A142" s="28">
        <v>131</v>
      </c>
      <c r="B142" s="41">
        <f t="shared" si="69"/>
        <v>107.3136396316995</v>
      </c>
      <c r="C142" s="39">
        <f>indtastning!E158</f>
        <v>1.03</v>
      </c>
      <c r="D142" s="40">
        <f t="shared" si="82"/>
        <v>0.89800000000000002</v>
      </c>
      <c r="E142" s="40">
        <f t="shared" si="81"/>
        <v>0.92799999999999994</v>
      </c>
      <c r="F142" s="40">
        <f t="shared" si="83"/>
        <v>0.98799999999999999</v>
      </c>
      <c r="G142" s="40">
        <f t="shared" si="84"/>
        <v>0.98799999999999999</v>
      </c>
      <c r="H142" s="50">
        <f t="shared" si="54"/>
        <v>4.144657440770815</v>
      </c>
      <c r="I142" s="39">
        <f>IF(indtastning!J$23&gt;4.9,5,IF(indtastning!J$23&lt;indtastning!G158,indtastning!J$23,indtastning!G158))</f>
        <v>3.343</v>
      </c>
      <c r="J142" s="41">
        <f t="shared" si="70"/>
        <v>3.343</v>
      </c>
      <c r="K142" s="40">
        <f t="shared" si="85"/>
        <v>3.027992475684159</v>
      </c>
      <c r="L142" s="46">
        <f t="shared" si="56"/>
        <v>0.94814871486976238</v>
      </c>
      <c r="M142" s="40">
        <f t="shared" si="71"/>
        <v>2.8709871744552453</v>
      </c>
      <c r="N142" s="39">
        <f>indtastning!D158</f>
        <v>6</v>
      </c>
      <c r="O142" s="45">
        <f t="shared" si="72"/>
        <v>17.225923046731474</v>
      </c>
      <c r="P142" s="39">
        <f t="shared" si="86"/>
        <v>15.87672859454214</v>
      </c>
      <c r="Q142" s="48">
        <f t="shared" si="87"/>
        <v>13.87672859454214</v>
      </c>
      <c r="R142" s="39">
        <f t="shared" si="55"/>
        <v>20.835922968331619</v>
      </c>
      <c r="S142" s="41">
        <f t="shared" si="88"/>
        <v>18.313749783961033</v>
      </c>
      <c r="T142" s="40">
        <f t="shared" si="73"/>
        <v>3.052291630660172</v>
      </c>
      <c r="U142" s="40">
        <f t="shared" si="74"/>
        <v>1.0952426584732835</v>
      </c>
      <c r="V142" s="44">
        <f t="shared" si="75"/>
        <v>771.09648573816412</v>
      </c>
      <c r="W142" s="45">
        <f t="shared" si="76"/>
        <v>239.38441279518943</v>
      </c>
      <c r="X142" s="41">
        <f t="shared" si="77"/>
        <v>2.3367281255858869</v>
      </c>
      <c r="Y142" s="45">
        <f t="shared" si="78"/>
        <v>2209.4130157015161</v>
      </c>
      <c r="Z142" s="41">
        <f t="shared" si="79"/>
        <v>16.737977391678154</v>
      </c>
      <c r="AA142" s="41">
        <f t="shared" si="80"/>
        <v>1.813518278751435</v>
      </c>
      <c r="AB142" s="39">
        <f>indtastning!F158/indtastning!E158</f>
        <v>1.6990291262135921</v>
      </c>
      <c r="AC142" s="40">
        <f t="shared" si="89"/>
        <v>5.6312621359223298</v>
      </c>
      <c r="AD142" s="40">
        <f t="shared" ref="AD142:AD205" si="90">AD141+AC142</f>
        <v>434.2605218154406</v>
      </c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</row>
    <row r="143" spans="1:44" x14ac:dyDescent="0.25">
      <c r="A143" s="28">
        <v>132</v>
      </c>
      <c r="B143" s="41">
        <f t="shared" si="69"/>
        <v>108.40888229017278</v>
      </c>
      <c r="C143" s="39">
        <f>indtastning!E159</f>
        <v>1.03</v>
      </c>
      <c r="D143" s="40">
        <f t="shared" si="82"/>
        <v>0.89800000000000002</v>
      </c>
      <c r="E143" s="40">
        <f t="shared" si="81"/>
        <v>0.92799999999999994</v>
      </c>
      <c r="F143" s="40">
        <f t="shared" si="83"/>
        <v>0.98799999999999999</v>
      </c>
      <c r="G143" s="40">
        <f t="shared" si="84"/>
        <v>0.98799999999999999</v>
      </c>
      <c r="H143" s="50">
        <f t="shared" si="54"/>
        <v>4.1611497718945367</v>
      </c>
      <c r="I143" s="39">
        <f>IF(indtastning!J$23&gt;4.9,5,IF(indtastning!J$23&lt;indtastning!G159,indtastning!J$23,indtastning!G159))</f>
        <v>3.3715999999999999</v>
      </c>
      <c r="J143" s="41">
        <f t="shared" si="70"/>
        <v>3.3715999999999999</v>
      </c>
      <c r="K143" s="40">
        <f t="shared" si="85"/>
        <v>3.0452324064193865</v>
      </c>
      <c r="L143" s="46">
        <f t="shared" si="56"/>
        <v>0.94844943479195387</v>
      </c>
      <c r="M143" s="40">
        <f t="shared" si="71"/>
        <v>2.8882489546786085</v>
      </c>
      <c r="N143" s="39">
        <f>indtastning!D159</f>
        <v>6</v>
      </c>
      <c r="O143" s="45">
        <f t="shared" si="72"/>
        <v>17.32949372807165</v>
      </c>
      <c r="P143" s="39">
        <f t="shared" si="86"/>
        <v>15.881780863393697</v>
      </c>
      <c r="Q143" s="48">
        <f t="shared" si="87"/>
        <v>13.881780863393697</v>
      </c>
      <c r="R143" s="39">
        <f t="shared" si="55"/>
        <v>20.841195861930757</v>
      </c>
      <c r="S143" s="41">
        <f t="shared" si="88"/>
        <v>18.387438412523519</v>
      </c>
      <c r="T143" s="40">
        <f t="shared" si="73"/>
        <v>3.0645730687539197</v>
      </c>
      <c r="U143" s="40">
        <f t="shared" si="74"/>
        <v>1.1001858739726249</v>
      </c>
      <c r="V143" s="44">
        <f t="shared" si="75"/>
        <v>773.55213856191506</v>
      </c>
      <c r="W143" s="45">
        <f t="shared" si="76"/>
        <v>242.75601279518943</v>
      </c>
      <c r="X143" s="41">
        <f t="shared" si="77"/>
        <v>2.3444034194293435</v>
      </c>
      <c r="Y143" s="45">
        <f t="shared" si="78"/>
        <v>2227.8004541140394</v>
      </c>
      <c r="Z143" s="41">
        <f t="shared" si="79"/>
        <v>16.750379354240899</v>
      </c>
      <c r="AA143" s="41">
        <f t="shared" si="80"/>
        <v>1.8252331789111989</v>
      </c>
      <c r="AB143" s="39">
        <f>indtastning!F159/indtastning!E159</f>
        <v>1.6990291262135921</v>
      </c>
      <c r="AC143" s="40">
        <f t="shared" si="89"/>
        <v>5.6798543689320384</v>
      </c>
      <c r="AD143" s="40">
        <f t="shared" si="90"/>
        <v>439.94037618437261</v>
      </c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</row>
    <row r="144" spans="1:44" x14ac:dyDescent="0.25">
      <c r="A144" s="37">
        <v>133</v>
      </c>
      <c r="B144" s="39">
        <f t="shared" si="69"/>
        <v>109.5090681641454</v>
      </c>
      <c r="C144" s="39">
        <f>indtastning!E160</f>
        <v>1.02</v>
      </c>
      <c r="D144" s="40">
        <f t="shared" si="82"/>
        <v>0.88700000000000001</v>
      </c>
      <c r="E144" s="40">
        <f t="shared" si="81"/>
        <v>0.91699999999999993</v>
      </c>
      <c r="F144" s="40">
        <f t="shared" si="83"/>
        <v>0.98499999999999999</v>
      </c>
      <c r="G144" s="40">
        <f t="shared" si="84"/>
        <v>0.98499999999999999</v>
      </c>
      <c r="H144" s="50">
        <f t="shared" si="54"/>
        <v>4.1645077518776521</v>
      </c>
      <c r="I144" s="39">
        <f>IF(indtastning!J$23&gt;4.9,5,IF(indtastning!J$23&lt;indtastning!G160,indtastning!J$23,indtastning!G160))</f>
        <v>3.4</v>
      </c>
      <c r="J144" s="39">
        <f t="shared" si="70"/>
        <v>3.4</v>
      </c>
      <c r="K144" s="42">
        <f t="shared" si="85"/>
        <v>3.0625501470282148</v>
      </c>
      <c r="L144" s="46">
        <f t="shared" si="56"/>
        <v>0.94875948385602249</v>
      </c>
      <c r="M144" s="42">
        <f t="shared" si="71"/>
        <v>2.9056234967776748</v>
      </c>
      <c r="N144" s="39">
        <f>indtastning!D160</f>
        <v>4</v>
      </c>
      <c r="O144" s="48">
        <f t="shared" si="72"/>
        <v>11.622493987110699</v>
      </c>
      <c r="P144" s="39">
        <f t="shared" si="86"/>
        <v>15.886835420974633</v>
      </c>
      <c r="Q144" s="48">
        <f t="shared" si="87"/>
        <v>13.886835420974633</v>
      </c>
      <c r="R144" s="39">
        <f t="shared" si="55"/>
        <v>20.846465805290098</v>
      </c>
      <c r="S144" s="41">
        <f t="shared" si="88"/>
        <v>15.886835420974633</v>
      </c>
      <c r="T144" s="42">
        <f t="shared" si="73"/>
        <v>3.9717088552436581</v>
      </c>
      <c r="U144" s="42">
        <f t="shared" si="74"/>
        <v>0.8560546918012738</v>
      </c>
      <c r="V144" s="51">
        <f t="shared" si="75"/>
        <v>776.0080313093639</v>
      </c>
      <c r="W144" s="48">
        <f t="shared" si="76"/>
        <v>246.15601279518944</v>
      </c>
      <c r="X144" s="39">
        <f t="shared" si="77"/>
        <v>2.3520802688491118</v>
      </c>
      <c r="Y144" s="48">
        <f t="shared" si="78"/>
        <v>2243.6872895350139</v>
      </c>
      <c r="Z144" s="39">
        <f t="shared" si="79"/>
        <v>16.743934996529955</v>
      </c>
      <c r="AA144" s="39">
        <f t="shared" si="80"/>
        <v>1.8369851701133539</v>
      </c>
      <c r="AB144" s="39">
        <f>indtastning!F160/indtastning!E160</f>
        <v>1.6666666666666665</v>
      </c>
      <c r="AC144" s="40">
        <f t="shared" si="89"/>
        <v>5.728446601941747</v>
      </c>
      <c r="AD144" s="40">
        <f t="shared" si="90"/>
        <v>445.66882278631437</v>
      </c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</row>
    <row r="145" spans="1:44" x14ac:dyDescent="0.25">
      <c r="A145" s="28">
        <v>134</v>
      </c>
      <c r="B145" s="41">
        <f t="shared" si="69"/>
        <v>110.36512285594668</v>
      </c>
      <c r="C145" s="39">
        <f>indtastning!E161</f>
        <v>1.02</v>
      </c>
      <c r="D145" s="40">
        <f t="shared" si="82"/>
        <v>0.88700000000000001</v>
      </c>
      <c r="E145" s="40">
        <f t="shared" si="81"/>
        <v>0.91699999999999993</v>
      </c>
      <c r="F145" s="40">
        <f t="shared" si="83"/>
        <v>0.98499999999999999</v>
      </c>
      <c r="G145" s="40">
        <f t="shared" si="84"/>
        <v>0.98499999999999999</v>
      </c>
      <c r="H145" s="50">
        <f t="shared" si="54"/>
        <v>4.1765890486919615</v>
      </c>
      <c r="I145" s="39">
        <f>IF(indtastning!J$23&gt;4.9,5,IF(indtastning!J$23&lt;indtastning!G161,indtastning!J$23,indtastning!G161))</f>
        <v>3.4</v>
      </c>
      <c r="J145" s="41">
        <f t="shared" si="70"/>
        <v>3.4</v>
      </c>
      <c r="K145" s="40">
        <f t="shared" si="85"/>
        <v>3.0760250819917534</v>
      </c>
      <c r="L145" s="46">
        <f t="shared" si="56"/>
        <v>0.94859837491324894</v>
      </c>
      <c r="M145" s="40">
        <f t="shared" si="71"/>
        <v>2.9179123939697704</v>
      </c>
      <c r="N145" s="39">
        <f>indtastning!D161</f>
        <v>4</v>
      </c>
      <c r="O145" s="45">
        <f t="shared" si="72"/>
        <v>11.671649575879082</v>
      </c>
      <c r="P145" s="39">
        <f t="shared" si="86"/>
        <v>15.89075433447292</v>
      </c>
      <c r="Q145" s="48">
        <f t="shared" si="87"/>
        <v>13.89075433447292</v>
      </c>
      <c r="R145" s="39">
        <f t="shared" si="55"/>
        <v>20.850548061042172</v>
      </c>
      <c r="S145" s="41">
        <f t="shared" si="88"/>
        <v>15.89075433447292</v>
      </c>
      <c r="T145" s="40">
        <f t="shared" si="73"/>
        <v>3.97268858361823</v>
      </c>
      <c r="U145" s="40">
        <f t="shared" si="74"/>
        <v>0.85584357505902486</v>
      </c>
      <c r="V145" s="44">
        <f t="shared" si="75"/>
        <v>776.60539444736332</v>
      </c>
      <c r="W145" s="45">
        <f t="shared" si="76"/>
        <v>249.55601279518945</v>
      </c>
      <c r="X145" s="41">
        <f t="shared" si="77"/>
        <v>2.3654035669177431</v>
      </c>
      <c r="Y145" s="45">
        <f t="shared" si="78"/>
        <v>2259.5780438694869</v>
      </c>
      <c r="Z145" s="41">
        <f t="shared" si="79"/>
        <v>16.737615139773975</v>
      </c>
      <c r="AA145" s="41">
        <f t="shared" si="80"/>
        <v>1.8485630577421441</v>
      </c>
      <c r="AB145" s="39">
        <f>indtastning!F161/indtastning!E161</f>
        <v>1.6666666666666665</v>
      </c>
      <c r="AC145" s="40">
        <f t="shared" si="89"/>
        <v>5.6666666666666661</v>
      </c>
      <c r="AD145" s="40">
        <f t="shared" si="90"/>
        <v>451.33548945298105</v>
      </c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</row>
    <row r="146" spans="1:44" x14ac:dyDescent="0.25">
      <c r="A146" s="28">
        <v>135</v>
      </c>
      <c r="B146" s="41">
        <f t="shared" si="69"/>
        <v>111.22096643100571</v>
      </c>
      <c r="C146" s="39">
        <f>indtastning!E162</f>
        <v>1.02</v>
      </c>
      <c r="D146" s="40">
        <f t="shared" si="82"/>
        <v>0.88700000000000001</v>
      </c>
      <c r="E146" s="40">
        <f t="shared" si="81"/>
        <v>0.91699999999999993</v>
      </c>
      <c r="F146" s="40">
        <f t="shared" si="83"/>
        <v>0.98499999999999999</v>
      </c>
      <c r="G146" s="40">
        <f t="shared" si="84"/>
        <v>0.98499999999999999</v>
      </c>
      <c r="H146" s="50">
        <f t="shared" si="54"/>
        <v>4.1883498751830741</v>
      </c>
      <c r="I146" s="39">
        <f>IF(indtastning!J$23&gt;4.9,5,IF(indtastning!J$23&lt;indtastning!G162,indtastning!J$23,indtastning!G162))</f>
        <v>3.4</v>
      </c>
      <c r="J146" s="41">
        <f t="shared" si="70"/>
        <v>3.4</v>
      </c>
      <c r="K146" s="40">
        <f t="shared" si="85"/>
        <v>3.0894966938213866</v>
      </c>
      <c r="L146" s="46">
        <f t="shared" si="56"/>
        <v>0.94844037849434948</v>
      </c>
      <c r="M146" s="40">
        <f t="shared" si="71"/>
        <v>2.930203413644997</v>
      </c>
      <c r="N146" s="39">
        <f>indtastning!D162</f>
        <v>4</v>
      </c>
      <c r="O146" s="45">
        <f t="shared" si="72"/>
        <v>11.720813654579988</v>
      </c>
      <c r="P146" s="39">
        <f t="shared" si="86"/>
        <v>15.894660145752203</v>
      </c>
      <c r="Q146" s="48">
        <f t="shared" si="87"/>
        <v>13.894660145752203</v>
      </c>
      <c r="R146" s="39">
        <f t="shared" si="55"/>
        <v>20.854613514188994</v>
      </c>
      <c r="S146" s="41">
        <f t="shared" si="88"/>
        <v>15.894660145752203</v>
      </c>
      <c r="T146" s="40">
        <f t="shared" si="73"/>
        <v>3.9736650364380508</v>
      </c>
      <c r="U146" s="40">
        <f t="shared" si="74"/>
        <v>0.85563326773202864</v>
      </c>
      <c r="V146" s="44">
        <f t="shared" si="75"/>
        <v>777.1923439333757</v>
      </c>
      <c r="W146" s="45">
        <f t="shared" si="76"/>
        <v>252.95601279518945</v>
      </c>
      <c r="X146" s="41">
        <f t="shared" si="77"/>
        <v>2.3785142406145616</v>
      </c>
      <c r="Y146" s="45">
        <f t="shared" si="78"/>
        <v>2275.4727040152393</v>
      </c>
      <c r="Z146" s="41">
        <f t="shared" si="79"/>
        <v>16.731416941288526</v>
      </c>
      <c r="AA146" s="41">
        <f t="shared" si="80"/>
        <v>1.8599706823175695</v>
      </c>
      <c r="AB146" s="39">
        <f>indtastning!F162/indtastning!E162</f>
        <v>1.6666666666666665</v>
      </c>
      <c r="AC146" s="40">
        <f t="shared" si="89"/>
        <v>5.6666666666666661</v>
      </c>
      <c r="AD146" s="40">
        <f t="shared" si="90"/>
        <v>457.00215611964774</v>
      </c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</row>
    <row r="147" spans="1:44" x14ac:dyDescent="0.25">
      <c r="A147" s="28">
        <v>136</v>
      </c>
      <c r="B147" s="41">
        <f t="shared" si="69"/>
        <v>112.07659969873774</v>
      </c>
      <c r="C147" s="39">
        <f>indtastning!E163</f>
        <v>1.02</v>
      </c>
      <c r="D147" s="40">
        <f t="shared" si="82"/>
        <v>0.88700000000000001</v>
      </c>
      <c r="E147" s="40">
        <f t="shared" si="81"/>
        <v>0.91699999999999993</v>
      </c>
      <c r="F147" s="40">
        <f t="shared" si="83"/>
        <v>0.98499999999999999</v>
      </c>
      <c r="G147" s="40">
        <f t="shared" si="84"/>
        <v>0.98499999999999999</v>
      </c>
      <c r="H147" s="50">
        <f t="shared" si="54"/>
        <v>4.199790476947455</v>
      </c>
      <c r="I147" s="39">
        <f>IF(indtastning!J$23&gt;4.9,5,IF(indtastning!J$23&lt;indtastning!G163,indtastning!J$23,indtastning!G163))</f>
        <v>3.4</v>
      </c>
      <c r="J147" s="41">
        <f t="shared" si="70"/>
        <v>3.4</v>
      </c>
      <c r="K147" s="40">
        <f t="shared" si="85"/>
        <v>3.102964995257909</v>
      </c>
      <c r="L147" s="46">
        <f t="shared" si="56"/>
        <v>0.94828542353221323</v>
      </c>
      <c r="M147" s="40">
        <f t="shared" si="71"/>
        <v>2.9424964747337783</v>
      </c>
      <c r="N147" s="39">
        <f>indtastning!D163</f>
        <v>4</v>
      </c>
      <c r="O147" s="45">
        <f t="shared" si="72"/>
        <v>11.769985898935113</v>
      </c>
      <c r="P147" s="39">
        <f t="shared" si="86"/>
        <v>15.898552997944705</v>
      </c>
      <c r="Q147" s="48">
        <f t="shared" si="87"/>
        <v>13.898552997944705</v>
      </c>
      <c r="R147" s="39">
        <f t="shared" si="55"/>
        <v>20.858662362128445</v>
      </c>
      <c r="S147" s="41">
        <f t="shared" si="88"/>
        <v>15.898552997944705</v>
      </c>
      <c r="T147" s="40">
        <f t="shared" si="73"/>
        <v>3.9746382494861763</v>
      </c>
      <c r="U147" s="40">
        <f t="shared" si="74"/>
        <v>0.8554237610025357</v>
      </c>
      <c r="V147" s="44">
        <f t="shared" si="75"/>
        <v>777.76911543189522</v>
      </c>
      <c r="W147" s="45">
        <f t="shared" si="76"/>
        <v>256.35601279518943</v>
      </c>
      <c r="X147" s="41">
        <f t="shared" si="77"/>
        <v>2.3914175112041161</v>
      </c>
      <c r="Y147" s="45">
        <f t="shared" si="78"/>
        <v>2291.3712570131838</v>
      </c>
      <c r="Z147" s="41">
        <f t="shared" si="79"/>
        <v>16.725337642431999</v>
      </c>
      <c r="AA147" s="41">
        <f t="shared" si="80"/>
        <v>1.87121177222766</v>
      </c>
      <c r="AB147" s="39">
        <f>indtastning!F163/indtastning!E163</f>
        <v>1.6666666666666665</v>
      </c>
      <c r="AC147" s="40">
        <f t="shared" si="89"/>
        <v>5.6666666666666661</v>
      </c>
      <c r="AD147" s="40">
        <f t="shared" si="90"/>
        <v>462.66882278631442</v>
      </c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</row>
    <row r="148" spans="1:44" x14ac:dyDescent="0.25">
      <c r="A148" s="28">
        <v>137</v>
      </c>
      <c r="B148" s="41">
        <f t="shared" si="69"/>
        <v>112.93202345974028</v>
      </c>
      <c r="C148" s="39">
        <f>indtastning!E164</f>
        <v>1.02</v>
      </c>
      <c r="D148" s="40">
        <f t="shared" si="82"/>
        <v>0.88700000000000001</v>
      </c>
      <c r="E148" s="40">
        <f t="shared" si="81"/>
        <v>0.91699999999999993</v>
      </c>
      <c r="F148" s="40">
        <f t="shared" si="83"/>
        <v>0.98499999999999999</v>
      </c>
      <c r="G148" s="40">
        <f t="shared" si="84"/>
        <v>0.98499999999999999</v>
      </c>
      <c r="H148" s="50">
        <f t="shared" si="54"/>
        <v>4.2109110982102846</v>
      </c>
      <c r="I148" s="39">
        <f>IF(indtastning!J$23&gt;4.9,5,IF(indtastning!J$23&lt;indtastning!G164,indtastning!J$23,indtastning!G164))</f>
        <v>3.4</v>
      </c>
      <c r="J148" s="41">
        <f t="shared" si="70"/>
        <v>3.4</v>
      </c>
      <c r="K148" s="40">
        <f t="shared" si="85"/>
        <v>3.1164299989033193</v>
      </c>
      <c r="L148" s="46">
        <f t="shared" si="56"/>
        <v>0.9481334410608</v>
      </c>
      <c r="M148" s="40">
        <f t="shared" si="71"/>
        <v>2.9547914986853092</v>
      </c>
      <c r="N148" s="39">
        <f>indtastning!D164</f>
        <v>4</v>
      </c>
      <c r="O148" s="45">
        <f t="shared" si="72"/>
        <v>11.819165994741237</v>
      </c>
      <c r="P148" s="39">
        <f t="shared" si="86"/>
        <v>15.902433031517141</v>
      </c>
      <c r="Q148" s="48">
        <f t="shared" si="87"/>
        <v>13.902433031517141</v>
      </c>
      <c r="R148" s="39">
        <f t="shared" si="55"/>
        <v>20.862694798423991</v>
      </c>
      <c r="S148" s="41">
        <f t="shared" si="88"/>
        <v>15.902433031517141</v>
      </c>
      <c r="T148" s="40">
        <f t="shared" si="73"/>
        <v>3.9756082578792853</v>
      </c>
      <c r="U148" s="40">
        <f t="shared" si="74"/>
        <v>0.85521504621626554</v>
      </c>
      <c r="V148" s="44">
        <f t="shared" si="75"/>
        <v>778.33593766233776</v>
      </c>
      <c r="W148" s="45">
        <f t="shared" si="76"/>
        <v>259.75601279518941</v>
      </c>
      <c r="X148" s="41">
        <f t="shared" si="77"/>
        <v>2.4041184296946083</v>
      </c>
      <c r="Y148" s="45">
        <f t="shared" si="78"/>
        <v>2307.2736900447007</v>
      </c>
      <c r="Z148" s="41">
        <f t="shared" si="79"/>
        <v>16.719374565541308</v>
      </c>
      <c r="AA148" s="41">
        <f t="shared" si="80"/>
        <v>1.8822899477912276</v>
      </c>
      <c r="AB148" s="39">
        <f>indtastning!F164/indtastning!E164</f>
        <v>1.6666666666666665</v>
      </c>
      <c r="AC148" s="40">
        <f t="shared" si="89"/>
        <v>5.6666666666666661</v>
      </c>
      <c r="AD148" s="40">
        <f t="shared" si="90"/>
        <v>468.33548945298111</v>
      </c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</row>
    <row r="149" spans="1:44" x14ac:dyDescent="0.25">
      <c r="A149" s="28">
        <v>138</v>
      </c>
      <c r="B149" s="41">
        <f t="shared" si="69"/>
        <v>113.78723850595654</v>
      </c>
      <c r="C149" s="39">
        <f>indtastning!E165</f>
        <v>1.02</v>
      </c>
      <c r="D149" s="40">
        <f t="shared" si="82"/>
        <v>0.88700000000000001</v>
      </c>
      <c r="E149" s="40">
        <f t="shared" si="81"/>
        <v>0.91699999999999993</v>
      </c>
      <c r="F149" s="40">
        <f t="shared" si="83"/>
        <v>0.98499999999999999</v>
      </c>
      <c r="G149" s="40">
        <f t="shared" si="84"/>
        <v>0.98499999999999999</v>
      </c>
      <c r="H149" s="50">
        <f t="shared" si="54"/>
        <v>4.2217119818445843</v>
      </c>
      <c r="I149" s="39">
        <f>IF(indtastning!J$23&gt;4.9,5,IF(indtastning!J$23&lt;indtastning!G165,indtastning!J$23,indtastning!G165))</f>
        <v>3.4</v>
      </c>
      <c r="J149" s="41">
        <f t="shared" si="70"/>
        <v>3.4</v>
      </c>
      <c r="K149" s="40">
        <f t="shared" si="85"/>
        <v>3.1298917172233902</v>
      </c>
      <c r="L149" s="46">
        <f t="shared" si="56"/>
        <v>0.94798436413853271</v>
      </c>
      <c r="M149" s="40">
        <f t="shared" si="71"/>
        <v>2.9670884093744756</v>
      </c>
      <c r="N149" s="39">
        <f>indtastning!D165</f>
        <v>4</v>
      </c>
      <c r="O149" s="45">
        <f t="shared" si="72"/>
        <v>11.868353637497902</v>
      </c>
      <c r="P149" s="39">
        <f t="shared" si="86"/>
        <v>15.906300384340568</v>
      </c>
      <c r="Q149" s="48">
        <f t="shared" si="87"/>
        <v>13.906300384340568</v>
      </c>
      <c r="R149" s="39">
        <f t="shared" si="55"/>
        <v>20.866711012908166</v>
      </c>
      <c r="S149" s="41">
        <f t="shared" si="88"/>
        <v>15.906300384340568</v>
      </c>
      <c r="T149" s="40">
        <f t="shared" si="73"/>
        <v>3.976575096085142</v>
      </c>
      <c r="U149" s="40">
        <f t="shared" si="74"/>
        <v>0.85500711487813508</v>
      </c>
      <c r="V149" s="44">
        <f t="shared" si="75"/>
        <v>778.8930326518589</v>
      </c>
      <c r="W149" s="45">
        <f t="shared" si="76"/>
        <v>263.15601279518938</v>
      </c>
      <c r="X149" s="41">
        <f t="shared" si="77"/>
        <v>2.4166218837298969</v>
      </c>
      <c r="Y149" s="45">
        <f t="shared" si="78"/>
        <v>2323.1799904290415</v>
      </c>
      <c r="Z149" s="41">
        <f t="shared" si="79"/>
        <v>16.713525111000298</v>
      </c>
      <c r="AA149" s="41">
        <f t="shared" si="80"/>
        <v>1.8932087251452474</v>
      </c>
      <c r="AB149" s="39">
        <f>indtastning!F165/indtastning!E165</f>
        <v>1.6666666666666665</v>
      </c>
      <c r="AC149" s="40">
        <f t="shared" si="89"/>
        <v>5.6666666666666661</v>
      </c>
      <c r="AD149" s="40">
        <f t="shared" si="90"/>
        <v>474.00215611964779</v>
      </c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</row>
    <row r="150" spans="1:44" x14ac:dyDescent="0.25">
      <c r="A150" s="28">
        <v>139</v>
      </c>
      <c r="B150" s="41">
        <f t="shared" si="69"/>
        <v>114.64224562083467</v>
      </c>
      <c r="C150" s="39">
        <f>indtastning!E166</f>
        <v>1.02</v>
      </c>
      <c r="D150" s="40">
        <f t="shared" si="82"/>
        <v>0.88700000000000001</v>
      </c>
      <c r="E150" s="40">
        <f t="shared" si="81"/>
        <v>0.91699999999999993</v>
      </c>
      <c r="F150" s="40">
        <f t="shared" si="83"/>
        <v>0.98499999999999999</v>
      </c>
      <c r="G150" s="40">
        <f t="shared" si="84"/>
        <v>0.98499999999999999</v>
      </c>
      <c r="H150" s="50">
        <f t="shared" si="54"/>
        <v>4.2321933693898854</v>
      </c>
      <c r="I150" s="39">
        <f>IF(indtastning!J$23&gt;4.9,5,IF(indtastning!J$23&lt;indtastning!G166,indtastning!J$23,indtastning!G166))</f>
        <v>3.4</v>
      </c>
      <c r="J150" s="41">
        <f t="shared" si="70"/>
        <v>3.4</v>
      </c>
      <c r="K150" s="40">
        <f t="shared" si="85"/>
        <v>3.1433501625501759</v>
      </c>
      <c r="L150" s="46">
        <f t="shared" si="56"/>
        <v>0.94783812777500753</v>
      </c>
      <c r="M150" s="40">
        <f t="shared" si="71"/>
        <v>2.9793871330128243</v>
      </c>
      <c r="N150" s="39">
        <f>indtastning!D166</f>
        <v>4</v>
      </c>
      <c r="O150" s="45">
        <f t="shared" si="72"/>
        <v>11.917548532051297</v>
      </c>
      <c r="P150" s="39">
        <f t="shared" si="86"/>
        <v>15.910155191757884</v>
      </c>
      <c r="Q150" s="48">
        <f t="shared" si="87"/>
        <v>13.910155191757884</v>
      </c>
      <c r="R150" s="39">
        <f t="shared" si="55"/>
        <v>20.870711191782522</v>
      </c>
      <c r="S150" s="41">
        <f t="shared" si="88"/>
        <v>15.910155191757884</v>
      </c>
      <c r="T150" s="40">
        <f t="shared" si="73"/>
        <v>3.977538797939471</v>
      </c>
      <c r="U150" s="40">
        <f t="shared" si="74"/>
        <v>0.85479995864813185</v>
      </c>
      <c r="V150" s="44">
        <f t="shared" si="75"/>
        <v>779.44061597722794</v>
      </c>
      <c r="W150" s="45">
        <f t="shared" si="76"/>
        <v>266.55601279518936</v>
      </c>
      <c r="X150" s="41">
        <f t="shared" si="77"/>
        <v>2.428932604149229</v>
      </c>
      <c r="Y150" s="45">
        <f t="shared" si="78"/>
        <v>2339.0901456207994</v>
      </c>
      <c r="Z150" s="41">
        <f t="shared" si="79"/>
        <v>16.707786754434281</v>
      </c>
      <c r="AA150" s="41">
        <f t="shared" si="80"/>
        <v>1.9039715199656382</v>
      </c>
      <c r="AB150" s="39">
        <f>indtastning!F166/indtastning!E166</f>
        <v>1.6666666666666665</v>
      </c>
      <c r="AC150" s="40">
        <f t="shared" si="89"/>
        <v>5.6666666666666661</v>
      </c>
      <c r="AD150" s="40">
        <f t="shared" si="90"/>
        <v>479.66882278631448</v>
      </c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</row>
    <row r="151" spans="1:44" x14ac:dyDescent="0.25">
      <c r="A151" s="37">
        <v>140</v>
      </c>
      <c r="B151" s="39">
        <f t="shared" si="69"/>
        <v>115.4970455794828</v>
      </c>
      <c r="C151" s="39">
        <f>indtastning!E167</f>
        <v>1.02</v>
      </c>
      <c r="D151" s="40">
        <f t="shared" si="82"/>
        <v>0.88700000000000001</v>
      </c>
      <c r="E151" s="40">
        <f t="shared" si="81"/>
        <v>0.91699999999999993</v>
      </c>
      <c r="F151" s="40">
        <f t="shared" si="83"/>
        <v>0.98499999999999999</v>
      </c>
      <c r="G151" s="40">
        <f t="shared" si="84"/>
        <v>0.98499999999999999</v>
      </c>
      <c r="H151" s="50">
        <f t="shared" si="54"/>
        <v>4.2423555010705041</v>
      </c>
      <c r="I151" s="39">
        <f>IF(indtastning!J$23&gt;4.9,5,IF(indtastning!J$23&lt;indtastning!G167,indtastning!J$23,indtastning!G167))</f>
        <v>3.4</v>
      </c>
      <c r="J151" s="39">
        <f t="shared" si="70"/>
        <v>3.4</v>
      </c>
      <c r="K151" s="42">
        <f t="shared" si="85"/>
        <v>3.1568053470844517</v>
      </c>
      <c r="L151" s="46">
        <f t="shared" si="56"/>
        <v>0.94769466886085707</v>
      </c>
      <c r="M151" s="42">
        <f t="shared" si="71"/>
        <v>2.9916875980633826</v>
      </c>
      <c r="N151" s="39">
        <f>indtastning!D167</f>
        <v>4</v>
      </c>
      <c r="O151" s="48">
        <f t="shared" si="72"/>
        <v>11.96675039225353</v>
      </c>
      <c r="P151" s="39">
        <f t="shared" si="86"/>
        <v>15.913997586649069</v>
      </c>
      <c r="Q151" s="48">
        <f t="shared" si="87"/>
        <v>13.913997586649069</v>
      </c>
      <c r="R151" s="39">
        <f t="shared" si="55"/>
        <v>20.874695517714123</v>
      </c>
      <c r="S151" s="41">
        <f t="shared" si="88"/>
        <v>15.913997586649069</v>
      </c>
      <c r="T151" s="42">
        <f t="shared" si="73"/>
        <v>3.9784993966622673</v>
      </c>
      <c r="U151" s="42">
        <f t="shared" si="74"/>
        <v>0.85459356933732478</v>
      </c>
      <c r="V151" s="51">
        <f t="shared" si="75"/>
        <v>779.97889699630571</v>
      </c>
      <c r="W151" s="48">
        <f t="shared" si="76"/>
        <v>269.95601279518934</v>
      </c>
      <c r="X151" s="39">
        <f t="shared" si="77"/>
        <v>2.4410551712332498</v>
      </c>
      <c r="Y151" s="48">
        <f t="shared" si="78"/>
        <v>2355.0041432074486</v>
      </c>
      <c r="Z151" s="39">
        <f t="shared" si="79"/>
        <v>16.702157044024457</v>
      </c>
      <c r="AA151" s="39">
        <f t="shared" si="80"/>
        <v>1.9145816510297116</v>
      </c>
      <c r="AB151" s="39">
        <f>indtastning!F167/indtastning!E167</f>
        <v>1.6666666666666665</v>
      </c>
      <c r="AC151" s="40">
        <f t="shared" si="89"/>
        <v>5.6666666666666661</v>
      </c>
      <c r="AD151" s="40">
        <f t="shared" si="90"/>
        <v>485.33548945298116</v>
      </c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</row>
    <row r="152" spans="1:44" x14ac:dyDescent="0.25">
      <c r="A152" s="28">
        <v>141</v>
      </c>
      <c r="B152" s="41">
        <f t="shared" ref="B152:B170" si="91">B151+U151</f>
        <v>116.35163914882013</v>
      </c>
      <c r="C152" s="39">
        <f>indtastning!E168</f>
        <v>1.02</v>
      </c>
      <c r="D152" s="40">
        <f t="shared" si="82"/>
        <v>0.88700000000000001</v>
      </c>
      <c r="E152" s="40">
        <f t="shared" si="81"/>
        <v>0.91699999999999993</v>
      </c>
      <c r="F152" s="40">
        <f t="shared" si="83"/>
        <v>0.98499999999999999</v>
      </c>
      <c r="G152" s="40">
        <f t="shared" si="84"/>
        <v>0.98499999999999999</v>
      </c>
      <c r="H152" s="50">
        <f t="shared" si="54"/>
        <v>4.2521986158133975</v>
      </c>
      <c r="I152" s="39">
        <f>IF(indtastning!J$23&gt;4.9,5,IF(indtastning!J$23&lt;indtastning!G168,indtastning!J$23,indtastning!G168))</f>
        <v>3.4</v>
      </c>
      <c r="J152" s="41">
        <f t="shared" ref="J152:J170" si="92">IF(I152&lt;H152,I152,H152)</f>
        <v>3.4</v>
      </c>
      <c r="K152" s="40">
        <f t="shared" si="85"/>
        <v>3.1702572828980946</v>
      </c>
      <c r="L152" s="46">
        <f t="shared" si="56"/>
        <v>0.94755392610061151</v>
      </c>
      <c r="M152" s="40">
        <f t="shared" ref="M152:M170" si="93">K152*L152</f>
        <v>3.0039897351591467</v>
      </c>
      <c r="N152" s="39">
        <f>indtastning!D168</f>
        <v>4</v>
      </c>
      <c r="O152" s="45">
        <f t="shared" ref="O152:O170" si="94">M152*N152</f>
        <v>12.015958940636587</v>
      </c>
      <c r="P152" s="39">
        <f t="shared" si="86"/>
        <v>15.91782769949427</v>
      </c>
      <c r="Q152" s="48">
        <f t="shared" si="87"/>
        <v>13.91782769949427</v>
      </c>
      <c r="R152" s="39">
        <f t="shared" si="55"/>
        <v>20.878664169928808</v>
      </c>
      <c r="S152" s="41">
        <f t="shared" si="88"/>
        <v>15.91782769949427</v>
      </c>
      <c r="T152" s="40">
        <f t="shared" ref="T152:T170" si="95">S152/N152</f>
        <v>3.9794569248735674</v>
      </c>
      <c r="U152" s="40">
        <f t="shared" ref="U152:U170" si="96">J152/T152</f>
        <v>0.85438793890400566</v>
      </c>
      <c r="V152" s="44">
        <f t="shared" ref="V152:V170" si="97">(B152-$B$11)/(A152-$A$11)*1000</f>
        <v>780.50807906964621</v>
      </c>
      <c r="W152" s="45">
        <f t="shared" ref="W152:W170" si="98">W151+J152</f>
        <v>273.35601279518932</v>
      </c>
      <c r="X152" s="41">
        <f t="shared" ref="X152:X170" si="99">(W151/(B152-$B$11))</f>
        <v>2.4529940206536538</v>
      </c>
      <c r="Y152" s="45">
        <f t="shared" ref="Y152:Y170" si="100">S152+Y151</f>
        <v>2370.921970906943</v>
      </c>
      <c r="Z152" s="41">
        <f t="shared" ref="Z152:Z170" si="101">Y152/(A153-$A$11)</f>
        <v>16.69663359793622</v>
      </c>
      <c r="AA152" s="41">
        <f t="shared" ref="AA152:AA170" si="102">W152/A153</f>
        <v>1.9250423436280937</v>
      </c>
      <c r="AB152" s="39">
        <f>indtastning!F168/indtastning!E168</f>
        <v>1.6666666666666665</v>
      </c>
      <c r="AC152" s="40">
        <f t="shared" si="89"/>
        <v>5.6666666666666661</v>
      </c>
      <c r="AD152" s="40">
        <f t="shared" si="90"/>
        <v>491.00215611964785</v>
      </c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</row>
    <row r="153" spans="1:44" x14ac:dyDescent="0.25">
      <c r="A153" s="28">
        <v>142</v>
      </c>
      <c r="B153" s="41">
        <f t="shared" si="91"/>
        <v>117.20602708772414</v>
      </c>
      <c r="C153" s="39">
        <f>indtastning!E169</f>
        <v>1.02</v>
      </c>
      <c r="D153" s="40">
        <f t="shared" si="82"/>
        <v>0.88700000000000001</v>
      </c>
      <c r="E153" s="40">
        <f t="shared" si="81"/>
        <v>0.91699999999999993</v>
      </c>
      <c r="F153" s="40">
        <f t="shared" si="83"/>
        <v>0.98499999999999999</v>
      </c>
      <c r="G153" s="40">
        <f t="shared" si="84"/>
        <v>0.98499999999999999</v>
      </c>
      <c r="H153" s="50">
        <f t="shared" si="54"/>
        <v>4.2617229512656385</v>
      </c>
      <c r="I153" s="39">
        <f>IF(indtastning!J$23&gt;4.9,5,IF(indtastning!J$23&lt;indtastning!G169,indtastning!J$23,indtastning!G169))</f>
        <v>3.4</v>
      </c>
      <c r="J153" s="41">
        <f t="shared" si="92"/>
        <v>3.4</v>
      </c>
      <c r="K153" s="40">
        <f t="shared" si="85"/>
        <v>3.1837059819363986</v>
      </c>
      <c r="L153" s="46">
        <f t="shared" si="56"/>
        <v>0.9474158399484055</v>
      </c>
      <c r="M153" s="40">
        <f t="shared" si="93"/>
        <v>3.016293477025036</v>
      </c>
      <c r="N153" s="39">
        <f>indtastning!D169</f>
        <v>4</v>
      </c>
      <c r="O153" s="45">
        <f t="shared" si="94"/>
        <v>12.065173908100144</v>
      </c>
      <c r="P153" s="39">
        <f t="shared" si="86"/>
        <v>15.9216456584348</v>
      </c>
      <c r="Q153" s="48">
        <f t="shared" si="87"/>
        <v>13.9216456584348</v>
      </c>
      <c r="R153" s="39">
        <f t="shared" si="55"/>
        <v>20.882617324301272</v>
      </c>
      <c r="S153" s="41">
        <f t="shared" si="88"/>
        <v>15.9216456584348</v>
      </c>
      <c r="T153" s="40">
        <f t="shared" si="95"/>
        <v>3.9804114146087</v>
      </c>
      <c r="U153" s="40">
        <f t="shared" si="96"/>
        <v>0.85418305944995931</v>
      </c>
      <c r="V153" s="44">
        <f t="shared" si="97"/>
        <v>781.02835977270524</v>
      </c>
      <c r="W153" s="45">
        <f t="shared" si="98"/>
        <v>276.75601279518929</v>
      </c>
      <c r="X153" s="41">
        <f t="shared" si="99"/>
        <v>2.4647534491427678</v>
      </c>
      <c r="Y153" s="45">
        <f t="shared" si="100"/>
        <v>2386.8436165653779</v>
      </c>
      <c r="Z153" s="41">
        <f t="shared" si="101"/>
        <v>16.691214101855788</v>
      </c>
      <c r="AA153" s="41">
        <f t="shared" si="102"/>
        <v>1.9353567328334915</v>
      </c>
      <c r="AB153" s="39">
        <f>indtastning!F169/indtastning!E169</f>
        <v>1.6666666666666665</v>
      </c>
      <c r="AC153" s="40">
        <f t="shared" si="89"/>
        <v>5.6666666666666661</v>
      </c>
      <c r="AD153" s="40">
        <f t="shared" si="90"/>
        <v>496.66882278631454</v>
      </c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</row>
    <row r="154" spans="1:44" x14ac:dyDescent="0.25">
      <c r="A154" s="28">
        <v>143</v>
      </c>
      <c r="B154" s="41">
        <f t="shared" si="91"/>
        <v>118.0602101471741</v>
      </c>
      <c r="C154" s="39">
        <f>indtastning!E170</f>
        <v>1.02</v>
      </c>
      <c r="D154" s="40">
        <f t="shared" si="82"/>
        <v>0.88700000000000001</v>
      </c>
      <c r="E154" s="40">
        <f t="shared" si="81"/>
        <v>0.91699999999999993</v>
      </c>
      <c r="F154" s="40">
        <f t="shared" si="83"/>
        <v>0.98499999999999999</v>
      </c>
      <c r="G154" s="40">
        <f t="shared" si="84"/>
        <v>0.98499999999999999</v>
      </c>
      <c r="H154" s="50">
        <f t="shared" ref="H154:H217" si="103">(B154*0.0627-B154*B154*0.00022)*$K$6*(IF(Z154&lt;15.4,0.97,IF(Z154&lt;15.7,0.98,IF(Z154&lt;16.5,0.99,1))))*G154</f>
        <v>4.2709287438115027</v>
      </c>
      <c r="I154" s="39">
        <f>IF(indtastning!J$23&gt;4.9,5,IF(indtastning!J$23&lt;indtastning!G170,indtastning!J$23,indtastning!G170))</f>
        <v>3.4</v>
      </c>
      <c r="J154" s="41">
        <f t="shared" si="92"/>
        <v>3.4</v>
      </c>
      <c r="K154" s="40">
        <f t="shared" si="85"/>
        <v>3.1971514560203333</v>
      </c>
      <c r="L154" s="46">
        <f t="shared" si="56"/>
        <v>0.94728035254639475</v>
      </c>
      <c r="M154" s="40">
        <f t="shared" si="93"/>
        <v>3.0285987584031608</v>
      </c>
      <c r="N154" s="39">
        <f>indtastning!D170</f>
        <v>4</v>
      </c>
      <c r="O154" s="45">
        <f t="shared" si="94"/>
        <v>12.114395033612643</v>
      </c>
      <c r="P154" s="39">
        <f t="shared" si="86"/>
        <v>15.925451589332154</v>
      </c>
      <c r="Q154" s="48">
        <f t="shared" si="87"/>
        <v>13.925451589332154</v>
      </c>
      <c r="R154" s="39">
        <f t="shared" si="55"/>
        <v>20.886555153442174</v>
      </c>
      <c r="S154" s="41">
        <f t="shared" si="88"/>
        <v>15.925451589332154</v>
      </c>
      <c r="T154" s="40">
        <f t="shared" si="95"/>
        <v>3.9813628973330384</v>
      </c>
      <c r="U154" s="40">
        <f t="shared" si="96"/>
        <v>0.85397892321685342</v>
      </c>
      <c r="V154" s="44">
        <f t="shared" si="97"/>
        <v>781.53993109911971</v>
      </c>
      <c r="W154" s="45">
        <f t="shared" si="98"/>
        <v>280.15601279518927</v>
      </c>
      <c r="X154" s="41">
        <f t="shared" si="99"/>
        <v>2.4763376198983207</v>
      </c>
      <c r="Y154" s="45">
        <f t="shared" si="100"/>
        <v>2402.7690681547101</v>
      </c>
      <c r="Z154" s="41">
        <f t="shared" si="101"/>
        <v>16.685896306629932</v>
      </c>
      <c r="AA154" s="41">
        <f t="shared" si="102"/>
        <v>1.9455278666332587</v>
      </c>
      <c r="AB154" s="39">
        <f>indtastning!F170/indtastning!E170</f>
        <v>1.6666666666666665</v>
      </c>
      <c r="AC154" s="40">
        <f t="shared" si="89"/>
        <v>5.6666666666666661</v>
      </c>
      <c r="AD154" s="40">
        <f t="shared" si="90"/>
        <v>502.33548945298122</v>
      </c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</row>
    <row r="155" spans="1:44" x14ac:dyDescent="0.25">
      <c r="A155" s="28">
        <v>144</v>
      </c>
      <c r="B155" s="41">
        <f t="shared" si="91"/>
        <v>118.91418907039096</v>
      </c>
      <c r="C155" s="39">
        <f>indtastning!E171</f>
        <v>1.02</v>
      </c>
      <c r="D155" s="40">
        <f t="shared" si="82"/>
        <v>0.88700000000000001</v>
      </c>
      <c r="E155" s="40">
        <f t="shared" si="81"/>
        <v>0.91699999999999993</v>
      </c>
      <c r="F155" s="40">
        <f t="shared" si="83"/>
        <v>0.98499999999999999</v>
      </c>
      <c r="G155" s="40">
        <f t="shared" si="84"/>
        <v>0.98499999999999999</v>
      </c>
      <c r="H155" s="50">
        <f t="shared" si="103"/>
        <v>4.2798162285891861</v>
      </c>
      <c r="I155" s="39">
        <f>IF(indtastning!J$23&gt;4.9,5,IF(indtastning!J$23&lt;indtastning!G171,indtastning!J$23,indtastning!G171))</f>
        <v>3.4</v>
      </c>
      <c r="J155" s="41">
        <f t="shared" si="92"/>
        <v>3.4</v>
      </c>
      <c r="K155" s="40">
        <f t="shared" si="85"/>
        <v>3.2105937168487468</v>
      </c>
      <c r="L155" s="46">
        <f t="shared" si="56"/>
        <v>0.94714740766574834</v>
      </c>
      <c r="M155" s="40">
        <f t="shared" si="93"/>
        <v>3.0409055159812302</v>
      </c>
      <c r="N155" s="39">
        <f>indtastning!D171</f>
        <v>4</v>
      </c>
      <c r="O155" s="45">
        <f t="shared" si="94"/>
        <v>12.163622063924921</v>
      </c>
      <c r="P155" s="39">
        <f t="shared" si="86"/>
        <v>15.929245615825101</v>
      </c>
      <c r="Q155" s="48">
        <f t="shared" si="87"/>
        <v>13.929245615825101</v>
      </c>
      <c r="R155" s="39">
        <f t="shared" si="55"/>
        <v>20.89047782678233</v>
      </c>
      <c r="S155" s="41">
        <f t="shared" si="88"/>
        <v>15.929245615825101</v>
      </c>
      <c r="T155" s="40">
        <f t="shared" si="95"/>
        <v>3.9823114039562753</v>
      </c>
      <c r="U155" s="40">
        <f t="shared" si="96"/>
        <v>0.85377552258274658</v>
      </c>
      <c r="V155" s="44">
        <f t="shared" si="97"/>
        <v>782.0429796554929</v>
      </c>
      <c r="W155" s="45">
        <f t="shared" si="98"/>
        <v>283.55601279518925</v>
      </c>
      <c r="X155" s="41">
        <f t="shared" si="99"/>
        <v>2.4877505677377307</v>
      </c>
      <c r="Y155" s="45">
        <f t="shared" si="100"/>
        <v>2418.6983137705352</v>
      </c>
      <c r="Z155" s="41">
        <f t="shared" si="101"/>
        <v>16.68067802600369</v>
      </c>
      <c r="AA155" s="41">
        <f t="shared" si="102"/>
        <v>1.9555587089323396</v>
      </c>
      <c r="AB155" s="39">
        <f>indtastning!F171/indtastning!E171</f>
        <v>1.6666666666666665</v>
      </c>
      <c r="AC155" s="40">
        <f t="shared" si="89"/>
        <v>5.6666666666666661</v>
      </c>
      <c r="AD155" s="40">
        <f t="shared" si="90"/>
        <v>508.00215611964791</v>
      </c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</row>
    <row r="156" spans="1:44" x14ac:dyDescent="0.25">
      <c r="A156" s="28">
        <v>145</v>
      </c>
      <c r="B156" s="41">
        <f t="shared" si="91"/>
        <v>119.76796459297371</v>
      </c>
      <c r="C156" s="39">
        <f>indtastning!E172</f>
        <v>1.02</v>
      </c>
      <c r="D156" s="40">
        <f t="shared" si="82"/>
        <v>0.88700000000000001</v>
      </c>
      <c r="E156" s="40">
        <f t="shared" si="81"/>
        <v>0.91699999999999993</v>
      </c>
      <c r="F156" s="40">
        <f t="shared" si="83"/>
        <v>0.98499999999999999</v>
      </c>
      <c r="G156" s="40">
        <f t="shared" si="84"/>
        <v>0.98499999999999999</v>
      </c>
      <c r="H156" s="50">
        <f t="shared" si="103"/>
        <v>4.2883856395071787</v>
      </c>
      <c r="I156" s="39">
        <f>IF(indtastning!J$23&gt;4.9,5,IF(indtastning!J$23&lt;indtastning!G172,indtastning!J$23,indtastning!G172))</f>
        <v>3.4</v>
      </c>
      <c r="J156" s="41">
        <f t="shared" si="92"/>
        <v>3.4</v>
      </c>
      <c r="K156" s="40">
        <f t="shared" si="85"/>
        <v>3.2240327760005121</v>
      </c>
      <c r="L156" s="46">
        <f t="shared" si="56"/>
        <v>0.94701695065009228</v>
      </c>
      <c r="M156" s="40">
        <f t="shared" si="93"/>
        <v>3.0532136883239569</v>
      </c>
      <c r="N156" s="39">
        <f>indtastning!D172</f>
        <v>4</v>
      </c>
      <c r="O156" s="45">
        <f t="shared" si="94"/>
        <v>12.212854753295828</v>
      </c>
      <c r="P156" s="39">
        <f t="shared" si="86"/>
        <v>15.933027859384953</v>
      </c>
      <c r="Q156" s="48">
        <f t="shared" si="87"/>
        <v>13.933027859384953</v>
      </c>
      <c r="R156" s="39">
        <f t="shared" si="55"/>
        <v>20.894385510654146</v>
      </c>
      <c r="S156" s="41">
        <f t="shared" si="88"/>
        <v>15.933027859384953</v>
      </c>
      <c r="T156" s="40">
        <f t="shared" si="95"/>
        <v>3.9832569648462384</v>
      </c>
      <c r="U156" s="40">
        <f t="shared" si="96"/>
        <v>0.85357285005870731</v>
      </c>
      <c r="V156" s="44">
        <f t="shared" si="97"/>
        <v>782.53768684809449</v>
      </c>
      <c r="W156" s="45">
        <f t="shared" si="98"/>
        <v>286.95601279518922</v>
      </c>
      <c r="X156" s="41">
        <f t="shared" si="99"/>
        <v>2.4989962040153482</v>
      </c>
      <c r="Y156" s="45">
        <f t="shared" si="100"/>
        <v>2434.6313416299199</v>
      </c>
      <c r="Z156" s="41">
        <f t="shared" si="101"/>
        <v>16.675557134451505</v>
      </c>
      <c r="AA156" s="41">
        <f t="shared" si="102"/>
        <v>1.9654521424328029</v>
      </c>
      <c r="AB156" s="39">
        <f>indtastning!F172/indtastning!E172</f>
        <v>1.6666666666666665</v>
      </c>
      <c r="AC156" s="40">
        <f t="shared" si="89"/>
        <v>5.6666666666666661</v>
      </c>
      <c r="AD156" s="40">
        <f t="shared" si="90"/>
        <v>513.66882278631454</v>
      </c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</row>
    <row r="157" spans="1:44" x14ac:dyDescent="0.25">
      <c r="A157" s="28">
        <v>146</v>
      </c>
      <c r="B157" s="41">
        <f t="shared" si="91"/>
        <v>120.62153744303242</v>
      </c>
      <c r="C157" s="39">
        <f>indtastning!E173</f>
        <v>1.02</v>
      </c>
      <c r="D157" s="40">
        <f t="shared" si="82"/>
        <v>0.88700000000000001</v>
      </c>
      <c r="E157" s="40">
        <f t="shared" si="81"/>
        <v>0.91699999999999993</v>
      </c>
      <c r="F157" s="40">
        <f t="shared" si="83"/>
        <v>0.98499999999999999</v>
      </c>
      <c r="G157" s="40">
        <f t="shared" si="84"/>
        <v>0.98499999999999999</v>
      </c>
      <c r="H157" s="50">
        <f t="shared" si="103"/>
        <v>4.2966372092602683</v>
      </c>
      <c r="I157" s="39">
        <f>IF(indtastning!J$23&gt;4.9,5,IF(indtastning!J$23&lt;indtastning!G173,indtastning!J$23,indtastning!G173))</f>
        <v>3.4</v>
      </c>
      <c r="J157" s="41">
        <f t="shared" si="92"/>
        <v>3.4</v>
      </c>
      <c r="K157" s="40">
        <f t="shared" si="85"/>
        <v>3.2374686449366217</v>
      </c>
      <c r="L157" s="46">
        <f t="shared" si="56"/>
        <v>0.94688892836128769</v>
      </c>
      <c r="M157" s="40">
        <f t="shared" si="93"/>
        <v>3.0655232158073078</v>
      </c>
      <c r="N157" s="39">
        <f>indtastning!D173</f>
        <v>4</v>
      </c>
      <c r="O157" s="45">
        <f t="shared" si="94"/>
        <v>12.262092863229231</v>
      </c>
      <c r="P157" s="39">
        <f t="shared" si="86"/>
        <v>15.936798439369046</v>
      </c>
      <c r="Q157" s="48">
        <f t="shared" si="87"/>
        <v>13.936798439369046</v>
      </c>
      <c r="R157" s="39">
        <f t="shared" si="55"/>
        <v>20.898278368370391</v>
      </c>
      <c r="S157" s="41">
        <f t="shared" si="88"/>
        <v>15.936798439369046</v>
      </c>
      <c r="T157" s="40">
        <f t="shared" si="95"/>
        <v>3.9841996098422614</v>
      </c>
      <c r="U157" s="40">
        <f t="shared" si="96"/>
        <v>0.8533708982855428</v>
      </c>
      <c r="V157" s="44">
        <f t="shared" si="97"/>
        <v>783.02422906186598</v>
      </c>
      <c r="W157" s="45">
        <f t="shared" si="98"/>
        <v>290.3560127951892</v>
      </c>
      <c r="X157" s="41">
        <f t="shared" si="99"/>
        <v>2.5100783213152842</v>
      </c>
      <c r="Y157" s="45">
        <f t="shared" si="100"/>
        <v>2450.5681400692888</v>
      </c>
      <c r="Z157" s="41">
        <f t="shared" si="101"/>
        <v>16.670531565097203</v>
      </c>
      <c r="AA157" s="41">
        <f t="shared" si="102"/>
        <v>1.975210971395845</v>
      </c>
      <c r="AB157" s="39">
        <f>indtastning!F173/indtastning!E173</f>
        <v>1.6666666666666665</v>
      </c>
      <c r="AC157" s="40">
        <f t="shared" si="89"/>
        <v>5.6666666666666661</v>
      </c>
      <c r="AD157" s="40">
        <f t="shared" si="90"/>
        <v>519.33548945298116</v>
      </c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</row>
    <row r="158" spans="1:44" x14ac:dyDescent="0.25">
      <c r="A158" s="37">
        <v>147</v>
      </c>
      <c r="B158" s="39">
        <f t="shared" si="91"/>
        <v>121.47490834131797</v>
      </c>
      <c r="C158" s="39">
        <f>indtastning!E174</f>
        <v>1.02</v>
      </c>
      <c r="D158" s="40">
        <f t="shared" si="82"/>
        <v>0.88700000000000001</v>
      </c>
      <c r="E158" s="40">
        <f t="shared" si="81"/>
        <v>0.91699999999999993</v>
      </c>
      <c r="F158" s="40">
        <f t="shared" si="83"/>
        <v>0.98499999999999999</v>
      </c>
      <c r="G158" s="40">
        <f t="shared" si="84"/>
        <v>0.98499999999999999</v>
      </c>
      <c r="H158" s="50">
        <f t="shared" si="103"/>
        <v>4.3045711693452295</v>
      </c>
      <c r="I158" s="39">
        <f>IF(indtastning!J$23&gt;4.9,5,IF(indtastning!J$23&lt;indtastning!G174,indtastning!J$23,indtastning!G174))</f>
        <v>3.4</v>
      </c>
      <c r="J158" s="39">
        <f t="shared" si="92"/>
        <v>3.4</v>
      </c>
      <c r="K158" s="42">
        <f t="shared" si="85"/>
        <v>3.2509013350022276</v>
      </c>
      <c r="L158" s="46">
        <f t="shared" si="56"/>
        <v>0.94676328912743013</v>
      </c>
      <c r="M158" s="42">
        <f t="shared" si="93"/>
        <v>3.0778340405554627</v>
      </c>
      <c r="N158" s="39">
        <f>indtastning!D174</f>
        <v>4</v>
      </c>
      <c r="O158" s="48">
        <f t="shared" si="94"/>
        <v>12.311336162221851</v>
      </c>
      <c r="P158" s="39">
        <f t="shared" si="86"/>
        <v>15.940557473072543</v>
      </c>
      <c r="Q158" s="48">
        <f t="shared" si="87"/>
        <v>13.940557473072543</v>
      </c>
      <c r="R158" s="39">
        <f t="shared" si="55"/>
        <v>20.902156560300387</v>
      </c>
      <c r="S158" s="41">
        <f t="shared" si="88"/>
        <v>15.940557473072543</v>
      </c>
      <c r="T158" s="42">
        <f t="shared" si="95"/>
        <v>3.9851393682681358</v>
      </c>
      <c r="U158" s="42">
        <f t="shared" si="96"/>
        <v>0.85316966003062877</v>
      </c>
      <c r="V158" s="51">
        <f t="shared" si="97"/>
        <v>783.50277783209515</v>
      </c>
      <c r="W158" s="48">
        <f t="shared" si="98"/>
        <v>293.75601279518918</v>
      </c>
      <c r="X158" s="39">
        <f t="shared" si="99"/>
        <v>2.5210005979316814</v>
      </c>
      <c r="Y158" s="48">
        <f t="shared" si="100"/>
        <v>2466.5086975423615</v>
      </c>
      <c r="Z158" s="39">
        <f t="shared" si="101"/>
        <v>16.665599307718658</v>
      </c>
      <c r="AA158" s="39">
        <f t="shared" si="102"/>
        <v>1.9848379242918188</v>
      </c>
      <c r="AB158" s="39">
        <f>indtastning!F174/indtastning!E174</f>
        <v>1.6666666666666665</v>
      </c>
      <c r="AC158" s="40">
        <f t="shared" si="89"/>
        <v>5.6666666666666661</v>
      </c>
      <c r="AD158" s="40">
        <f t="shared" si="90"/>
        <v>525.00215611964779</v>
      </c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</row>
    <row r="159" spans="1:44" x14ac:dyDescent="0.25">
      <c r="A159" s="28">
        <v>148</v>
      </c>
      <c r="B159" s="41">
        <f t="shared" si="91"/>
        <v>122.3280780013486</v>
      </c>
      <c r="C159" s="39">
        <f>indtastning!E175</f>
        <v>1.02</v>
      </c>
      <c r="D159" s="40">
        <f t="shared" si="82"/>
        <v>0.88700000000000001</v>
      </c>
      <c r="E159" s="40">
        <f t="shared" si="81"/>
        <v>0.91699999999999993</v>
      </c>
      <c r="F159" s="40">
        <f t="shared" si="83"/>
        <v>0.98499999999999999</v>
      </c>
      <c r="G159" s="40">
        <f t="shared" si="84"/>
        <v>0.98499999999999999</v>
      </c>
      <c r="H159" s="50">
        <f t="shared" si="103"/>
        <v>4.3121877500761663</v>
      </c>
      <c r="I159" s="39">
        <f>IF(indtastning!J$23&gt;4.9,5,IF(indtastning!J$23&lt;indtastning!G175,indtastning!J$23,indtastning!G175))</f>
        <v>3.4</v>
      </c>
      <c r="J159" s="41">
        <f t="shared" si="92"/>
        <v>3.4</v>
      </c>
      <c r="K159" s="40">
        <f t="shared" si="85"/>
        <v>3.2643308574286358</v>
      </c>
      <c r="L159" s="46">
        <f t="shared" si="56"/>
        <v>0.94663998269296645</v>
      </c>
      <c r="M159" s="40">
        <f t="shared" si="93"/>
        <v>3.0901461063803604</v>
      </c>
      <c r="N159" s="39">
        <f>indtastning!D175</f>
        <v>4</v>
      </c>
      <c r="O159" s="45">
        <f t="shared" si="94"/>
        <v>12.360584425521441</v>
      </c>
      <c r="P159" s="39">
        <f t="shared" si="86"/>
        <v>15.944305075778606</v>
      </c>
      <c r="Q159" s="48">
        <f t="shared" si="87"/>
        <v>13.944305075778606</v>
      </c>
      <c r="R159" s="39">
        <f t="shared" ref="R159:R222" si="104">19.8+0.1*POWER(B159,0.5)</f>
        <v>20.906020243943793</v>
      </c>
      <c r="S159" s="41">
        <f t="shared" si="88"/>
        <v>15.944305075778606</v>
      </c>
      <c r="T159" s="40">
        <f t="shared" si="95"/>
        <v>3.9860762689446516</v>
      </c>
      <c r="U159" s="40">
        <f t="shared" si="96"/>
        <v>0.85296912818484016</v>
      </c>
      <c r="V159" s="44">
        <f t="shared" si="97"/>
        <v>783.97350000911217</v>
      </c>
      <c r="W159" s="45">
        <f t="shared" si="98"/>
        <v>297.15601279518916</v>
      </c>
      <c r="X159" s="41">
        <f t="shared" si="99"/>
        <v>2.531766602147584</v>
      </c>
      <c r="Y159" s="45">
        <f t="shared" si="100"/>
        <v>2482.4530026181401</v>
      </c>
      <c r="Z159" s="41">
        <f t="shared" si="101"/>
        <v>16.660758406833153</v>
      </c>
      <c r="AA159" s="41">
        <f t="shared" si="102"/>
        <v>1.9943356563435515</v>
      </c>
      <c r="AB159" s="39">
        <f>indtastning!F175/indtastning!E175</f>
        <v>1.6666666666666665</v>
      </c>
      <c r="AC159" s="40">
        <f t="shared" si="89"/>
        <v>5.6666666666666661</v>
      </c>
      <c r="AD159" s="40">
        <f t="shared" si="90"/>
        <v>530.66882278631442</v>
      </c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</row>
    <row r="160" spans="1:44" x14ac:dyDescent="0.25">
      <c r="A160" s="28">
        <v>149</v>
      </c>
      <c r="B160" s="41">
        <f t="shared" si="91"/>
        <v>123.18104712953344</v>
      </c>
      <c r="C160" s="39">
        <f>indtastning!E176</f>
        <v>1.02</v>
      </c>
      <c r="D160" s="40">
        <f t="shared" si="82"/>
        <v>0.88700000000000001</v>
      </c>
      <c r="E160" s="40">
        <f t="shared" si="81"/>
        <v>0.91699999999999993</v>
      </c>
      <c r="F160" s="40">
        <f t="shared" si="83"/>
        <v>0.98499999999999999</v>
      </c>
      <c r="G160" s="40">
        <f t="shared" si="84"/>
        <v>0.98499999999999999</v>
      </c>
      <c r="H160" s="50">
        <f t="shared" si="103"/>
        <v>4.3194871805995501</v>
      </c>
      <c r="I160" s="39">
        <f>IF(indtastning!J$23&gt;4.9,5,IF(indtastning!J$23&lt;indtastning!G176,indtastning!J$23,indtastning!G176))</f>
        <v>3.4</v>
      </c>
      <c r="J160" s="41">
        <f t="shared" si="92"/>
        <v>3.4</v>
      </c>
      <c r="K160" s="40">
        <f t="shared" si="85"/>
        <v>3.2777572233352488</v>
      </c>
      <c r="L160" s="46">
        <f t="shared" si="56"/>
        <v>0.94651896017082893</v>
      </c>
      <c r="M160" s="40">
        <f t="shared" si="93"/>
        <v>3.1024593587237033</v>
      </c>
      <c r="N160" s="39">
        <f>indtastning!D176</f>
        <v>4</v>
      </c>
      <c r="O160" s="45">
        <f t="shared" si="94"/>
        <v>12.409837434894813</v>
      </c>
      <c r="P160" s="39">
        <f t="shared" si="86"/>
        <v>15.948041360806979</v>
      </c>
      <c r="Q160" s="48">
        <f t="shared" si="87"/>
        <v>13.948041360806979</v>
      </c>
      <c r="R160" s="39">
        <f t="shared" si="104"/>
        <v>20.909869574001981</v>
      </c>
      <c r="S160" s="41">
        <f t="shared" si="88"/>
        <v>15.948041360806979</v>
      </c>
      <c r="T160" s="40">
        <f t="shared" si="95"/>
        <v>3.9870103402017447</v>
      </c>
      <c r="U160" s="40">
        <f t="shared" si="96"/>
        <v>0.8527692957595786</v>
      </c>
      <c r="V160" s="44">
        <f t="shared" si="97"/>
        <v>784.43655791633182</v>
      </c>
      <c r="W160" s="45">
        <f t="shared" si="98"/>
        <v>300.55601279518913</v>
      </c>
      <c r="X160" s="41">
        <f t="shared" si="99"/>
        <v>2.5423797963228885</v>
      </c>
      <c r="Y160" s="45">
        <f t="shared" si="100"/>
        <v>2498.4010439789472</v>
      </c>
      <c r="Z160" s="41">
        <f t="shared" si="101"/>
        <v>16.656006959859649</v>
      </c>
      <c r="AA160" s="41">
        <f t="shared" si="102"/>
        <v>2.0037067519679277</v>
      </c>
      <c r="AB160" s="39">
        <f>indtastning!F176/indtastning!E176</f>
        <v>1.6666666666666665</v>
      </c>
      <c r="AC160" s="40">
        <f t="shared" si="89"/>
        <v>5.6666666666666661</v>
      </c>
      <c r="AD160" s="40">
        <f t="shared" si="90"/>
        <v>536.33548945298105</v>
      </c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</row>
    <row r="161" spans="1:44" x14ac:dyDescent="0.25">
      <c r="A161" s="28">
        <v>150</v>
      </c>
      <c r="B161" s="41">
        <f t="shared" si="91"/>
        <v>124.03381642529301</v>
      </c>
      <c r="C161" s="39">
        <f>indtastning!E177</f>
        <v>1.02</v>
      </c>
      <c r="D161" s="40">
        <f t="shared" si="82"/>
        <v>0.88700000000000001</v>
      </c>
      <c r="E161" s="40">
        <f t="shared" si="81"/>
        <v>0.91699999999999993</v>
      </c>
      <c r="F161" s="40">
        <f t="shared" si="83"/>
        <v>0.98499999999999999</v>
      </c>
      <c r="G161" s="40">
        <f t="shared" si="84"/>
        <v>0.98499999999999999</v>
      </c>
      <c r="H161" s="50">
        <f t="shared" si="103"/>
        <v>4.3264696889089382</v>
      </c>
      <c r="I161" s="39">
        <f>IF(indtastning!J$23&gt;4.9,5,IF(indtastning!J$23&lt;indtastning!G177,indtastning!J$23,indtastning!G177))</f>
        <v>3.4</v>
      </c>
      <c r="J161" s="41">
        <f t="shared" si="92"/>
        <v>3.4</v>
      </c>
      <c r="K161" s="40">
        <f t="shared" si="85"/>
        <v>3.2911804437314642</v>
      </c>
      <c r="L161" s="46">
        <f t="shared" si="56"/>
        <v>0.94640017399649123</v>
      </c>
      <c r="M161" s="40">
        <f t="shared" si="93"/>
        <v>3.1147737446013068</v>
      </c>
      <c r="N161" s="39">
        <f>indtastning!D177</f>
        <v>4</v>
      </c>
      <c r="O161" s="45">
        <f t="shared" si="94"/>
        <v>12.459094978405227</v>
      </c>
      <c r="P161" s="39">
        <f t="shared" si="86"/>
        <v>15.951766439561087</v>
      </c>
      <c r="Q161" s="48">
        <f t="shared" si="87"/>
        <v>13.951766439561087</v>
      </c>
      <c r="R161" s="39">
        <f t="shared" si="104"/>
        <v>20.913704702447166</v>
      </c>
      <c r="S161" s="41">
        <f t="shared" si="88"/>
        <v>15.951766439561087</v>
      </c>
      <c r="T161" s="40">
        <f t="shared" si="95"/>
        <v>3.9879416098902718</v>
      </c>
      <c r="U161" s="40">
        <f t="shared" si="96"/>
        <v>0.85257015588388996</v>
      </c>
      <c r="V161" s="44">
        <f t="shared" si="97"/>
        <v>784.89210950195343</v>
      </c>
      <c r="W161" s="45">
        <f t="shared" si="98"/>
        <v>303.95601279518911</v>
      </c>
      <c r="X161" s="41">
        <f t="shared" si="99"/>
        <v>2.552843540801248</v>
      </c>
      <c r="Y161" s="45">
        <f t="shared" si="100"/>
        <v>2514.3528104185084</v>
      </c>
      <c r="Z161" s="41">
        <f t="shared" si="101"/>
        <v>16.651343115354361</v>
      </c>
      <c r="AA161" s="41">
        <f t="shared" si="102"/>
        <v>2.0129537271204576</v>
      </c>
      <c r="AB161" s="39">
        <f>indtastning!F177/indtastning!E177</f>
        <v>1.6666666666666665</v>
      </c>
      <c r="AC161" s="40">
        <f t="shared" si="89"/>
        <v>5.6666666666666661</v>
      </c>
      <c r="AD161" s="40">
        <f t="shared" si="90"/>
        <v>542.00215611964768</v>
      </c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</row>
    <row r="162" spans="1:44" x14ac:dyDescent="0.25">
      <c r="A162" s="28">
        <v>151</v>
      </c>
      <c r="B162" s="41">
        <f t="shared" si="91"/>
        <v>124.88638658117691</v>
      </c>
      <c r="C162" s="39">
        <f>indtastning!E178</f>
        <v>1.02</v>
      </c>
      <c r="D162" s="40">
        <f t="shared" si="82"/>
        <v>0.88700000000000001</v>
      </c>
      <c r="E162" s="40">
        <f t="shared" si="81"/>
        <v>0.91699999999999993</v>
      </c>
      <c r="F162" s="40">
        <f t="shared" si="83"/>
        <v>0.98499999999999999</v>
      </c>
      <c r="G162" s="40">
        <f t="shared" si="84"/>
        <v>0.98499999999999999</v>
      </c>
      <c r="H162" s="50">
        <f t="shared" si="103"/>
        <v>4.3331355018594007</v>
      </c>
      <c r="I162" s="39">
        <f>IF(indtastning!J$23&gt;4.9,5,IF(indtastning!J$23&lt;indtastning!G178,indtastning!J$23,indtastning!G178))</f>
        <v>3.4</v>
      </c>
      <c r="J162" s="41">
        <f t="shared" si="92"/>
        <v>3.4</v>
      </c>
      <c r="K162" s="40">
        <f t="shared" si="85"/>
        <v>3.3046005295185257</v>
      </c>
      <c r="L162" s="46">
        <f t="shared" si="56"/>
        <v>0.94628357788385908</v>
      </c>
      <c r="M162" s="40">
        <f t="shared" si="93"/>
        <v>3.1270892125496856</v>
      </c>
      <c r="N162" s="39">
        <f>indtastning!D178</f>
        <v>4</v>
      </c>
      <c r="O162" s="45">
        <f t="shared" si="94"/>
        <v>12.508356850198743</v>
      </c>
      <c r="P162" s="39">
        <f t="shared" si="86"/>
        <v>15.955480421573663</v>
      </c>
      <c r="Q162" s="48">
        <f t="shared" si="87"/>
        <v>13.955480421573663</v>
      </c>
      <c r="R162" s="39">
        <f t="shared" si="104"/>
        <v>20.917525778589368</v>
      </c>
      <c r="S162" s="41">
        <f t="shared" si="88"/>
        <v>15.955480421573663</v>
      </c>
      <c r="T162" s="40">
        <f t="shared" si="95"/>
        <v>3.9888701053934157</v>
      </c>
      <c r="U162" s="40">
        <f t="shared" si="96"/>
        <v>0.85237170180167188</v>
      </c>
      <c r="V162" s="44">
        <f t="shared" si="97"/>
        <v>785.34030848461532</v>
      </c>
      <c r="W162" s="45">
        <f t="shared" si="98"/>
        <v>307.35601279518909</v>
      </c>
      <c r="X162" s="41">
        <f t="shared" si="99"/>
        <v>2.5631610976452142</v>
      </c>
      <c r="Y162" s="45">
        <f t="shared" si="100"/>
        <v>2530.308290840082</v>
      </c>
      <c r="Z162" s="41">
        <f t="shared" si="101"/>
        <v>16.646765071316327</v>
      </c>
      <c r="AA162" s="41">
        <f t="shared" si="102"/>
        <v>2.0220790315472965</v>
      </c>
      <c r="AB162" s="39">
        <f>indtastning!F178/indtastning!E178</f>
        <v>1.6666666666666665</v>
      </c>
      <c r="AC162" s="40">
        <f t="shared" si="89"/>
        <v>5.6666666666666661</v>
      </c>
      <c r="AD162" s="40">
        <f t="shared" si="90"/>
        <v>547.66882278631431</v>
      </c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</row>
    <row r="163" spans="1:44" x14ac:dyDescent="0.25">
      <c r="A163" s="28">
        <v>152</v>
      </c>
      <c r="B163" s="41">
        <f t="shared" si="91"/>
        <v>125.73875828297858</v>
      </c>
      <c r="C163" s="39">
        <f>indtastning!E179</f>
        <v>1.02</v>
      </c>
      <c r="D163" s="40">
        <f t="shared" si="82"/>
        <v>0.88700000000000001</v>
      </c>
      <c r="E163" s="40">
        <f t="shared" si="81"/>
        <v>0.91699999999999993</v>
      </c>
      <c r="F163" s="40">
        <f t="shared" si="83"/>
        <v>0.98499999999999999</v>
      </c>
      <c r="G163" s="40">
        <f t="shared" si="84"/>
        <v>0.98499999999999999</v>
      </c>
      <c r="H163" s="50">
        <f t="shared" si="103"/>
        <v>4.3394848451816461</v>
      </c>
      <c r="I163" s="39">
        <f>IF(indtastning!J$23&gt;4.9,5,IF(indtastning!J$23&lt;indtastning!G179,indtastning!J$23,indtastning!G179))</f>
        <v>3.4</v>
      </c>
      <c r="J163" s="41">
        <f t="shared" si="92"/>
        <v>3.4</v>
      </c>
      <c r="K163" s="40">
        <f t="shared" si="85"/>
        <v>3.3180174914913296</v>
      </c>
      <c r="L163" s="46">
        <f t="shared" si="56"/>
        <v>0.94616912678290821</v>
      </c>
      <c r="M163" s="40">
        <f t="shared" si="93"/>
        <v>3.1394057125747667</v>
      </c>
      <c r="N163" s="39">
        <f>indtastning!D179</f>
        <v>4</v>
      </c>
      <c r="O163" s="45">
        <f t="shared" si="94"/>
        <v>12.557622850299067</v>
      </c>
      <c r="P163" s="39">
        <f t="shared" si="86"/>
        <v>15.959183414550992</v>
      </c>
      <c r="Q163" s="48">
        <f t="shared" si="87"/>
        <v>13.959183414550992</v>
      </c>
      <c r="R163" s="39">
        <f t="shared" si="104"/>
        <v>20.921332949141238</v>
      </c>
      <c r="S163" s="41">
        <f t="shared" si="88"/>
        <v>15.959183414550992</v>
      </c>
      <c r="T163" s="40">
        <f t="shared" si="95"/>
        <v>3.989795853637748</v>
      </c>
      <c r="U163" s="40">
        <f t="shared" si="96"/>
        <v>0.85217392686896642</v>
      </c>
      <c r="V163" s="44">
        <f t="shared" si="97"/>
        <v>785.78130449328012</v>
      </c>
      <c r="W163" s="45">
        <f t="shared" si="98"/>
        <v>310.75601279518906</v>
      </c>
      <c r="X163" s="41">
        <f t="shared" si="99"/>
        <v>2.5733356342083717</v>
      </c>
      <c r="Y163" s="45">
        <f t="shared" si="100"/>
        <v>2546.2674742546328</v>
      </c>
      <c r="Z163" s="41">
        <f t="shared" si="101"/>
        <v>16.642271073559691</v>
      </c>
      <c r="AA163" s="41">
        <f t="shared" si="102"/>
        <v>2.0310850509489482</v>
      </c>
      <c r="AB163" s="39">
        <f>indtastning!F179/indtastning!E179</f>
        <v>1.6666666666666665</v>
      </c>
      <c r="AC163" s="40">
        <f t="shared" si="89"/>
        <v>5.6666666666666661</v>
      </c>
      <c r="AD163" s="40">
        <f t="shared" si="90"/>
        <v>553.33548945298094</v>
      </c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</row>
    <row r="164" spans="1:44" x14ac:dyDescent="0.25">
      <c r="A164" s="28">
        <v>153</v>
      </c>
      <c r="B164" s="41">
        <f t="shared" si="91"/>
        <v>126.59093220984755</v>
      </c>
      <c r="C164" s="39">
        <f>indtastning!E180</f>
        <v>1.02</v>
      </c>
      <c r="D164" s="40">
        <f t="shared" si="82"/>
        <v>0.88700000000000001</v>
      </c>
      <c r="E164" s="40">
        <f t="shared" si="81"/>
        <v>0.91699999999999993</v>
      </c>
      <c r="F164" s="40">
        <f t="shared" si="83"/>
        <v>0.98499999999999999</v>
      </c>
      <c r="G164" s="40">
        <f t="shared" si="84"/>
        <v>0.98499999999999999</v>
      </c>
      <c r="H164" s="50">
        <f t="shared" si="103"/>
        <v>4.3455179434958735</v>
      </c>
      <c r="I164" s="39">
        <f>IF(indtastning!J$23&gt;4.9,5,IF(indtastning!J$23&lt;indtastning!G180,indtastning!J$23,indtastning!G180))</f>
        <v>3.4</v>
      </c>
      <c r="J164" s="41">
        <f t="shared" si="92"/>
        <v>3.4</v>
      </c>
      <c r="K164" s="40">
        <f t="shared" si="85"/>
        <v>3.3314313403401932</v>
      </c>
      <c r="L164" s="46">
        <f t="shared" si="56"/>
        <v>0.94605677683899236</v>
      </c>
      <c r="M164" s="40">
        <f t="shared" si="93"/>
        <v>3.1517231961026475</v>
      </c>
      <c r="N164" s="39">
        <f>indtastning!D180</f>
        <v>4</v>
      </c>
      <c r="O164" s="45">
        <f t="shared" si="94"/>
        <v>12.60689278441059</v>
      </c>
      <c r="P164" s="39">
        <f t="shared" si="86"/>
        <v>15.962875524415802</v>
      </c>
      <c r="Q164" s="48">
        <f t="shared" si="87"/>
        <v>13.962875524415802</v>
      </c>
      <c r="R164" s="39">
        <f t="shared" si="104"/>
        <v>20.925126358280917</v>
      </c>
      <c r="S164" s="41">
        <f t="shared" si="88"/>
        <v>15.962875524415802</v>
      </c>
      <c r="T164" s="40">
        <f t="shared" si="95"/>
        <v>3.9907188811039505</v>
      </c>
      <c r="U164" s="40">
        <f t="shared" si="96"/>
        <v>0.85197682455133494</v>
      </c>
      <c r="V164" s="44">
        <f t="shared" si="97"/>
        <v>786.21524320161791</v>
      </c>
      <c r="W164" s="45">
        <f t="shared" si="98"/>
        <v>314.15601279518904</v>
      </c>
      <c r="X164" s="41">
        <f t="shared" si="99"/>
        <v>2.5833702265526974</v>
      </c>
      <c r="Y164" s="45">
        <f t="shared" si="100"/>
        <v>2562.2303497790485</v>
      </c>
      <c r="Z164" s="41">
        <f t="shared" si="101"/>
        <v>16.637859414149666</v>
      </c>
      <c r="AA164" s="41">
        <f t="shared" si="102"/>
        <v>2.0399741090596692</v>
      </c>
      <c r="AB164" s="39">
        <f>indtastning!F180/indtastning!E180</f>
        <v>1.6666666666666665</v>
      </c>
      <c r="AC164" s="40">
        <f t="shared" si="89"/>
        <v>5.6666666666666661</v>
      </c>
      <c r="AD164" s="40">
        <f t="shared" si="90"/>
        <v>559.00215611964757</v>
      </c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</row>
    <row r="165" spans="1:44" x14ac:dyDescent="0.25">
      <c r="A165" s="37">
        <v>154</v>
      </c>
      <c r="B165" s="39">
        <f t="shared" si="91"/>
        <v>127.44290903439888</v>
      </c>
      <c r="C165" s="39">
        <f>indtastning!E181</f>
        <v>1.02</v>
      </c>
      <c r="D165" s="40">
        <f t="shared" si="82"/>
        <v>0.88700000000000001</v>
      </c>
      <c r="E165" s="40">
        <f t="shared" si="81"/>
        <v>0.91699999999999993</v>
      </c>
      <c r="F165" s="40">
        <f t="shared" si="83"/>
        <v>0.98499999999999999</v>
      </c>
      <c r="G165" s="40">
        <f t="shared" si="84"/>
        <v>0.98499999999999999</v>
      </c>
      <c r="H165" s="50">
        <f t="shared" si="103"/>
        <v>4.3512350203253378</v>
      </c>
      <c r="I165" s="39">
        <f>IF(indtastning!J$23&gt;4.9,5,IF(indtastning!J$23&lt;indtastning!G181,indtastning!J$23,indtastning!G181))</f>
        <v>3.4</v>
      </c>
      <c r="J165" s="39">
        <f t="shared" si="92"/>
        <v>3.4</v>
      </c>
      <c r="K165" s="42">
        <f t="shared" si="85"/>
        <v>3.3448420866525752</v>
      </c>
      <c r="L165" s="46">
        <f t="shared" si="56"/>
        <v>0.94594648535374171</v>
      </c>
      <c r="M165" s="42">
        <f t="shared" si="93"/>
        <v>3.1640416159322791</v>
      </c>
      <c r="N165" s="39">
        <f>indtastning!D181</f>
        <v>4</v>
      </c>
      <c r="O165" s="48">
        <f t="shared" si="94"/>
        <v>12.656166463729116</v>
      </c>
      <c r="P165" s="39">
        <f t="shared" si="86"/>
        <v>15.966556855348861</v>
      </c>
      <c r="Q165" s="48">
        <f t="shared" si="87"/>
        <v>13.966556855348861</v>
      </c>
      <c r="R165" s="39">
        <f t="shared" si="104"/>
        <v>20.928906147712905</v>
      </c>
      <c r="S165" s="41">
        <f t="shared" si="88"/>
        <v>15.966556855348861</v>
      </c>
      <c r="T165" s="42">
        <f t="shared" si="95"/>
        <v>3.9916392138372152</v>
      </c>
      <c r="U165" s="42">
        <f t="shared" si="96"/>
        <v>0.8517803884213111</v>
      </c>
      <c r="V165" s="51">
        <f t="shared" si="97"/>
        <v>786.64226645713563</v>
      </c>
      <c r="W165" s="48">
        <f t="shared" si="98"/>
        <v>317.55601279518902</v>
      </c>
      <c r="X165" s="39">
        <f t="shared" si="99"/>
        <v>2.5932678627189274</v>
      </c>
      <c r="Y165" s="48">
        <f t="shared" si="100"/>
        <v>2578.1969066343972</v>
      </c>
      <c r="Z165" s="39">
        <f t="shared" si="101"/>
        <v>16.633528429899336</v>
      </c>
      <c r="AA165" s="39">
        <f t="shared" si="102"/>
        <v>2.0487484696463807</v>
      </c>
      <c r="AB165" s="39">
        <f>indtastning!F181/indtastning!E181</f>
        <v>1.6666666666666665</v>
      </c>
      <c r="AC165" s="40">
        <f t="shared" si="89"/>
        <v>5.6666666666666661</v>
      </c>
      <c r="AD165" s="40">
        <f t="shared" si="90"/>
        <v>564.66882278631419</v>
      </c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</row>
    <row r="166" spans="1:44" x14ac:dyDescent="0.25">
      <c r="A166" s="28">
        <v>155</v>
      </c>
      <c r="B166" s="41">
        <f t="shared" si="91"/>
        <v>128.2946894228202</v>
      </c>
      <c r="C166" s="39">
        <f>indtastning!E182</f>
        <v>1.02</v>
      </c>
      <c r="D166" s="40">
        <f t="shared" si="82"/>
        <v>0.88700000000000001</v>
      </c>
      <c r="E166" s="40">
        <f t="shared" si="81"/>
        <v>0.91699999999999993</v>
      </c>
      <c r="F166" s="40">
        <f t="shared" si="83"/>
        <v>0.98499999999999999</v>
      </c>
      <c r="G166" s="40">
        <f t="shared" si="84"/>
        <v>0.98499999999999999</v>
      </c>
      <c r="H166" s="50">
        <f t="shared" si="103"/>
        <v>4.3566362981096516</v>
      </c>
      <c r="I166" s="39">
        <f>IF(indtastning!J$23&gt;4.9,5,IF(indtastning!J$23&lt;indtastning!G182,indtastning!J$23,indtastning!G182))</f>
        <v>3.4</v>
      </c>
      <c r="J166" s="41">
        <f t="shared" si="92"/>
        <v>3.4</v>
      </c>
      <c r="K166" s="42">
        <f t="shared" si="85"/>
        <v>3.3582497409147627</v>
      </c>
      <c r="L166" s="46">
        <f t="shared" ref="L166:L222" si="105">IF(Z165&lt;16,0.93,IF(Z165&lt;18,0.93+(Z165-16)*0.025,IF(Z165&lt;19,0.98+(Z165-18)*0.01,IF(Z165&lt;19.5,0.995,1))))</f>
        <v>0.94583821074748342</v>
      </c>
      <c r="M166" s="40">
        <f t="shared" si="93"/>
        <v>3.1763609261900188</v>
      </c>
      <c r="N166" s="39">
        <f>indtastning!D182</f>
        <v>4</v>
      </c>
      <c r="O166" s="45">
        <f t="shared" si="94"/>
        <v>12.705443704760075</v>
      </c>
      <c r="P166" s="39">
        <f t="shared" si="86"/>
        <v>15.970227509829332</v>
      </c>
      <c r="Q166" s="48">
        <f t="shared" si="87"/>
        <v>13.970227509829332</v>
      </c>
      <c r="R166" s="39">
        <f t="shared" si="104"/>
        <v>20.932672456727101</v>
      </c>
      <c r="S166" s="41">
        <f t="shared" si="88"/>
        <v>15.970227509829332</v>
      </c>
      <c r="T166" s="40">
        <f t="shared" si="95"/>
        <v>3.992556877457333</v>
      </c>
      <c r="U166" s="40">
        <f t="shared" si="96"/>
        <v>0.85158461215593151</v>
      </c>
      <c r="V166" s="44">
        <f t="shared" si="97"/>
        <v>787.06251240529161</v>
      </c>
      <c r="W166" s="45">
        <f t="shared" si="98"/>
        <v>320.956012795189</v>
      </c>
      <c r="X166" s="41">
        <f t="shared" si="99"/>
        <v>2.6030314458572432</v>
      </c>
      <c r="Y166" s="45">
        <f t="shared" si="100"/>
        <v>2594.1671341442266</v>
      </c>
      <c r="Z166" s="41">
        <f t="shared" si="101"/>
        <v>16.629276500924529</v>
      </c>
      <c r="AA166" s="41">
        <f t="shared" si="102"/>
        <v>2.0574103384306985</v>
      </c>
      <c r="AB166" s="39">
        <f>indtastning!F182/indtastning!E182</f>
        <v>1.6666666666666665</v>
      </c>
      <c r="AC166" s="40">
        <f t="shared" si="89"/>
        <v>5.6666666666666661</v>
      </c>
      <c r="AD166" s="40">
        <f t="shared" si="90"/>
        <v>570.33548945298082</v>
      </c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</row>
    <row r="167" spans="1:44" x14ac:dyDescent="0.25">
      <c r="A167" s="28">
        <v>156</v>
      </c>
      <c r="B167" s="41">
        <f t="shared" si="91"/>
        <v>129.14627403497613</v>
      </c>
      <c r="C167" s="39">
        <f>indtastning!E183</f>
        <v>1.02</v>
      </c>
      <c r="D167" s="40">
        <f t="shared" si="82"/>
        <v>0.88700000000000001</v>
      </c>
      <c r="E167" s="40">
        <f t="shared" si="81"/>
        <v>0.91699999999999993</v>
      </c>
      <c r="F167" s="40">
        <f t="shared" si="83"/>
        <v>0.98499999999999999</v>
      </c>
      <c r="G167" s="40">
        <f t="shared" si="84"/>
        <v>0.98499999999999999</v>
      </c>
      <c r="H167" s="50">
        <f t="shared" si="103"/>
        <v>4.3617219982178232</v>
      </c>
      <c r="I167" s="39">
        <f>IF(indtastning!J$23&gt;4.9,5,IF(indtastning!J$23&lt;indtastning!G183,indtastning!J$23,indtastning!G183))</f>
        <v>3.4</v>
      </c>
      <c r="J167" s="41">
        <f t="shared" si="92"/>
        <v>3.4</v>
      </c>
      <c r="K167" s="42">
        <f t="shared" si="85"/>
        <v>3.3716543135135133</v>
      </c>
      <c r="L167" s="46">
        <f t="shared" si="105"/>
        <v>0.94573191252311328</v>
      </c>
      <c r="M167" s="40">
        <f t="shared" si="93"/>
        <v>3.1886810822859397</v>
      </c>
      <c r="N167" s="39">
        <f>indtastning!D183</f>
        <v>4</v>
      </c>
      <c r="O167" s="45">
        <f t="shared" si="94"/>
        <v>12.754724329143759</v>
      </c>
      <c r="P167" s="39">
        <f t="shared" si="86"/>
        <v>15.973887588673909</v>
      </c>
      <c r="Q167" s="48">
        <f t="shared" si="87"/>
        <v>13.973887588673909</v>
      </c>
      <c r="R167" s="39">
        <f t="shared" si="104"/>
        <v>20.936425422256015</v>
      </c>
      <c r="S167" s="41">
        <f t="shared" si="88"/>
        <v>15.973887588673909</v>
      </c>
      <c r="T167" s="40">
        <f t="shared" si="95"/>
        <v>3.9934718971684773</v>
      </c>
      <c r="U167" s="40">
        <f t="shared" si="96"/>
        <v>0.85138948953433946</v>
      </c>
      <c r="V167" s="44">
        <f t="shared" si="97"/>
        <v>787.47611560882137</v>
      </c>
      <c r="W167" s="45">
        <f t="shared" si="98"/>
        <v>324.35601279518897</v>
      </c>
      <c r="X167" s="41">
        <f t="shared" si="99"/>
        <v>2.6126637972252063</v>
      </c>
      <c r="Y167" s="45">
        <f t="shared" si="100"/>
        <v>2610.1410217329003</v>
      </c>
      <c r="Z167" s="41">
        <f t="shared" si="101"/>
        <v>16.625102049254142</v>
      </c>
      <c r="AA167" s="41">
        <f t="shared" si="102"/>
        <v>2.0659618649375093</v>
      </c>
      <c r="AB167" s="39">
        <f>indtastning!F183/indtastning!E183</f>
        <v>1.6666666666666665</v>
      </c>
      <c r="AC167" s="40">
        <f t="shared" si="89"/>
        <v>5.6666666666666661</v>
      </c>
      <c r="AD167" s="40">
        <f t="shared" si="90"/>
        <v>576.00215611964745</v>
      </c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</row>
    <row r="168" spans="1:44" x14ac:dyDescent="0.25">
      <c r="A168" s="28">
        <v>157</v>
      </c>
      <c r="B168" s="41">
        <f t="shared" si="91"/>
        <v>129.99766352451047</v>
      </c>
      <c r="C168" s="39">
        <f>indtastning!E184</f>
        <v>1.02</v>
      </c>
      <c r="D168" s="40">
        <f t="shared" si="82"/>
        <v>0.88700000000000001</v>
      </c>
      <c r="E168" s="40">
        <f t="shared" si="81"/>
        <v>0.91699999999999993</v>
      </c>
      <c r="F168" s="40">
        <f t="shared" si="83"/>
        <v>0.98499999999999999</v>
      </c>
      <c r="G168" s="40">
        <f t="shared" si="84"/>
        <v>0.98499999999999999</v>
      </c>
      <c r="H168" s="50">
        <f t="shared" si="103"/>
        <v>4.3664923409610452</v>
      </c>
      <c r="I168" s="39">
        <f>IF(indtastning!J$23&gt;4.9,5,IF(indtastning!J$23&lt;indtastning!G184,indtastning!J$23,indtastning!G184))</f>
        <v>3.4</v>
      </c>
      <c r="J168" s="41">
        <f t="shared" si="92"/>
        <v>3.4</v>
      </c>
      <c r="K168" s="42">
        <f t="shared" si="85"/>
        <v>3.3850558147376653</v>
      </c>
      <c r="L168" s="46">
        <f t="shared" si="105"/>
        <v>0.94562755123135356</v>
      </c>
      <c r="M168" s="40">
        <f t="shared" si="93"/>
        <v>3.2010020408718329</v>
      </c>
      <c r="N168" s="39">
        <f>indtastning!D184</f>
        <v>4</v>
      </c>
      <c r="O168" s="45">
        <f t="shared" si="94"/>
        <v>12.804008163487332</v>
      </c>
      <c r="P168" s="39">
        <f t="shared" si="86"/>
        <v>15.977537191074823</v>
      </c>
      <c r="Q168" s="48">
        <f t="shared" si="87"/>
        <v>13.977537191074823</v>
      </c>
      <c r="R168" s="39">
        <f t="shared" si="104"/>
        <v>20.940165178930275</v>
      </c>
      <c r="S168" s="41">
        <f t="shared" si="88"/>
        <v>15.977537191074823</v>
      </c>
      <c r="T168" s="40">
        <f t="shared" si="95"/>
        <v>3.9943842977687058</v>
      </c>
      <c r="U168" s="40">
        <f t="shared" si="96"/>
        <v>0.85119501443545786</v>
      </c>
      <c r="V168" s="44">
        <f t="shared" si="97"/>
        <v>787.883207162487</v>
      </c>
      <c r="W168" s="45">
        <f t="shared" si="98"/>
        <v>327.75601279518895</v>
      </c>
      <c r="X168" s="41">
        <f t="shared" si="99"/>
        <v>2.6221676590594485</v>
      </c>
      <c r="Y168" s="45">
        <f t="shared" si="100"/>
        <v>2626.1185589239753</v>
      </c>
      <c r="Z168" s="41">
        <f t="shared" si="101"/>
        <v>16.621003537493515</v>
      </c>
      <c r="AA168" s="41">
        <f t="shared" si="102"/>
        <v>2.074405144273348</v>
      </c>
      <c r="AB168" s="39">
        <f>indtastning!F184/indtastning!E184</f>
        <v>1.6666666666666665</v>
      </c>
      <c r="AC168" s="40">
        <f t="shared" si="89"/>
        <v>5.6666666666666661</v>
      </c>
      <c r="AD168" s="40">
        <f t="shared" si="90"/>
        <v>581.66882278631408</v>
      </c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</row>
    <row r="169" spans="1:44" x14ac:dyDescent="0.25">
      <c r="A169" s="28">
        <v>158</v>
      </c>
      <c r="B169" s="41">
        <f t="shared" si="91"/>
        <v>130.84885853894593</v>
      </c>
      <c r="C169" s="39">
        <f>indtastning!E185</f>
        <v>1.02</v>
      </c>
      <c r="D169" s="40">
        <f t="shared" si="82"/>
        <v>0.88700000000000001</v>
      </c>
      <c r="E169" s="40">
        <f t="shared" si="81"/>
        <v>0.91699999999999993</v>
      </c>
      <c r="F169" s="40">
        <f t="shared" si="83"/>
        <v>0.98499999999999999</v>
      </c>
      <c r="G169" s="40">
        <f t="shared" si="84"/>
        <v>0.98499999999999999</v>
      </c>
      <c r="H169" s="50">
        <f t="shared" si="103"/>
        <v>4.3709475456052331</v>
      </c>
      <c r="I169" s="39">
        <f>IF(indtastning!J$23&gt;4.9,5,IF(indtastning!J$23&lt;indtastning!G185,indtastning!J$23,indtastning!G185))</f>
        <v>3.4</v>
      </c>
      <c r="J169" s="41">
        <f t="shared" si="92"/>
        <v>3.4</v>
      </c>
      <c r="K169" s="42">
        <f t="shared" si="85"/>
        <v>3.3984542547797045</v>
      </c>
      <c r="L169" s="46">
        <f t="shared" si="105"/>
        <v>0.94552508843733796</v>
      </c>
      <c r="M169" s="40">
        <f t="shared" si="93"/>
        <v>3.2133237598008275</v>
      </c>
      <c r="N169" s="39">
        <f>indtastning!D185</f>
        <v>4</v>
      </c>
      <c r="O169" s="45">
        <f t="shared" si="94"/>
        <v>12.85329503920331</v>
      </c>
      <c r="P169" s="39">
        <f t="shared" si="86"/>
        <v>15.981176414636705</v>
      </c>
      <c r="Q169" s="48">
        <f t="shared" si="87"/>
        <v>13.981176414636705</v>
      </c>
      <c r="R169" s="39">
        <f t="shared" si="104"/>
        <v>20.943891859132435</v>
      </c>
      <c r="S169" s="41">
        <f t="shared" si="88"/>
        <v>15.981176414636705</v>
      </c>
      <c r="T169" s="40">
        <f t="shared" si="95"/>
        <v>3.9952941036591763</v>
      </c>
      <c r="U169" s="40">
        <f t="shared" si="96"/>
        <v>0.85100118083573284</v>
      </c>
      <c r="V169" s="44">
        <f t="shared" si="97"/>
        <v>788.28391480345533</v>
      </c>
      <c r="W169" s="45">
        <f t="shared" si="98"/>
        <v>331.15601279518893</v>
      </c>
      <c r="X169" s="41">
        <f t="shared" si="99"/>
        <v>2.6315456973272937</v>
      </c>
      <c r="Y169" s="45">
        <f t="shared" si="100"/>
        <v>2642.0997353386119</v>
      </c>
      <c r="Z169" s="41">
        <f t="shared" si="101"/>
        <v>16.616979467538439</v>
      </c>
      <c r="AA169" s="41">
        <f t="shared" si="102"/>
        <v>2.0827422188376663</v>
      </c>
      <c r="AB169" s="39">
        <f>indtastning!F185/indtastning!E185</f>
        <v>1.6666666666666665</v>
      </c>
      <c r="AC169" s="40">
        <f t="shared" si="89"/>
        <v>5.6666666666666661</v>
      </c>
      <c r="AD169" s="40">
        <f t="shared" si="90"/>
        <v>587.33548945298071</v>
      </c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</row>
    <row r="170" spans="1:44" x14ac:dyDescent="0.25">
      <c r="A170" s="28">
        <v>159</v>
      </c>
      <c r="B170" s="41">
        <f t="shared" si="91"/>
        <v>131.69985971978167</v>
      </c>
      <c r="C170" s="39">
        <f>indtastning!E186</f>
        <v>1.02</v>
      </c>
      <c r="D170" s="40">
        <f t="shared" si="82"/>
        <v>0.88700000000000001</v>
      </c>
      <c r="E170" s="40">
        <f t="shared" si="81"/>
        <v>0.91699999999999993</v>
      </c>
      <c r="F170" s="40">
        <f t="shared" si="83"/>
        <v>0.98499999999999999</v>
      </c>
      <c r="G170" s="40">
        <f t="shared" si="84"/>
        <v>0.98499999999999999</v>
      </c>
      <c r="H170" s="50">
        <f t="shared" si="103"/>
        <v>4.3750878303833121</v>
      </c>
      <c r="I170" s="39">
        <f>IF(indtastning!J$23&gt;4.9,5,IF(indtastning!J$23&lt;indtastning!G186,indtastning!J$23,indtastning!G186))</f>
        <v>3.4</v>
      </c>
      <c r="J170" s="41">
        <f t="shared" si="92"/>
        <v>3.4</v>
      </c>
      <c r="K170" s="42">
        <f t="shared" si="85"/>
        <v>3.4118496437373045</v>
      </c>
      <c r="L170" s="46">
        <f t="shared" si="105"/>
        <v>0.94542448668846102</v>
      </c>
      <c r="M170" s="40">
        <f t="shared" si="93"/>
        <v>3.2256461980885498</v>
      </c>
      <c r="N170" s="39">
        <f>indtastning!D186</f>
        <v>4</v>
      </c>
      <c r="O170" s="45">
        <f t="shared" si="94"/>
        <v>12.902584792354199</v>
      </c>
      <c r="P170" s="39">
        <f t="shared" si="86"/>
        <v>15.984805355412385</v>
      </c>
      <c r="Q170" s="48">
        <f t="shared" si="87"/>
        <v>13.984805355412385</v>
      </c>
      <c r="R170" s="39">
        <f t="shared" si="104"/>
        <v>20.947605593049204</v>
      </c>
      <c r="S170" s="41">
        <f t="shared" si="88"/>
        <v>15.984805355412385</v>
      </c>
      <c r="T170" s="40">
        <f t="shared" si="95"/>
        <v>3.9962013388530964</v>
      </c>
      <c r="U170" s="40">
        <f t="shared" si="96"/>
        <v>0.85080798280694103</v>
      </c>
      <c r="V170" s="44">
        <f t="shared" si="97"/>
        <v>788.6783630174948</v>
      </c>
      <c r="W170" s="45">
        <f t="shared" si="98"/>
        <v>334.55601279518891</v>
      </c>
      <c r="X170" s="41">
        <f t="shared" si="99"/>
        <v>2.6408005043641167</v>
      </c>
      <c r="Y170" s="45">
        <f t="shared" si="100"/>
        <v>2658.0845406940243</v>
      </c>
      <c r="Z170" s="41">
        <f t="shared" si="101"/>
        <v>16.613028379337653</v>
      </c>
      <c r="AA170" s="41">
        <f t="shared" si="102"/>
        <v>2.0909750799699305</v>
      </c>
      <c r="AB170" s="39">
        <f>indtastning!F186/indtastning!E186</f>
        <v>1.6666666666666665</v>
      </c>
      <c r="AC170" s="40">
        <f t="shared" si="89"/>
        <v>5.6666666666666661</v>
      </c>
      <c r="AD170" s="40">
        <f t="shared" si="90"/>
        <v>593.00215611964734</v>
      </c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</row>
    <row r="171" spans="1:44" x14ac:dyDescent="0.25">
      <c r="A171" s="28">
        <v>160</v>
      </c>
      <c r="B171" s="41">
        <f>B170+U170</f>
        <v>132.55066770258861</v>
      </c>
      <c r="C171" s="39">
        <f>indtastning!E187</f>
        <v>1.02</v>
      </c>
      <c r="D171" s="40">
        <f t="shared" si="82"/>
        <v>0.88700000000000001</v>
      </c>
      <c r="E171" s="40">
        <f t="shared" si="81"/>
        <v>0.91699999999999993</v>
      </c>
      <c r="F171" s="40">
        <f t="shared" si="83"/>
        <v>0.98499999999999999</v>
      </c>
      <c r="G171" s="40">
        <f t="shared" si="84"/>
        <v>0.98499999999999999</v>
      </c>
      <c r="H171" s="50">
        <f t="shared" si="103"/>
        <v>4.3789134125072948</v>
      </c>
      <c r="I171" s="39">
        <f>IF(indtastning!J$23&gt;4.9,5,IF(indtastning!J$23&lt;indtastning!G187,indtastning!J$23,indtastning!G187))</f>
        <v>3.4</v>
      </c>
      <c r="J171" s="41">
        <f>IF(I171&lt;H171,I171,H171)</f>
        <v>3.4</v>
      </c>
      <c r="K171" s="42">
        <f t="shared" si="85"/>
        <v>3.4252419916148211</v>
      </c>
      <c r="L171" s="46">
        <f t="shared" si="105"/>
        <v>0.94532570948344141</v>
      </c>
      <c r="M171" s="40">
        <f>K171*L171</f>
        <v>3.2379693158757568</v>
      </c>
      <c r="N171" s="39">
        <f>indtastning!D187</f>
        <v>4</v>
      </c>
      <c r="O171" s="45">
        <f>M171*N171</f>
        <v>12.951877263503027</v>
      </c>
      <c r="P171" s="39">
        <f t="shared" si="86"/>
        <v>15.98842410793765</v>
      </c>
      <c r="Q171" s="48">
        <f t="shared" si="87"/>
        <v>13.98842410793765</v>
      </c>
      <c r="R171" s="39">
        <f t="shared" si="104"/>
        <v>20.951306508722109</v>
      </c>
      <c r="S171" s="41">
        <f t="shared" si="88"/>
        <v>15.98842410793765</v>
      </c>
      <c r="T171" s="40">
        <f>S171/N171</f>
        <v>3.9971060269844125</v>
      </c>
      <c r="U171" s="40">
        <f>J171/T171</f>
        <v>0.85061541451406164</v>
      </c>
      <c r="V171" s="44">
        <f>(B171-$B$11)/(A171-$A$11)*1000</f>
        <v>789.06667314117885</v>
      </c>
      <c r="W171" s="45">
        <f>W170+J171</f>
        <v>337.95601279518888</v>
      </c>
      <c r="X171" s="41">
        <f>(W170/(B171-$B$11))</f>
        <v>2.6499346014019478</v>
      </c>
      <c r="Y171" s="45">
        <f>S171+Y170</f>
        <v>2674.0729648019619</v>
      </c>
      <c r="Z171" s="41">
        <f>Y171/(A172-$A$11)</f>
        <v>16.609148849701626</v>
      </c>
      <c r="AA171" s="41">
        <f>W171/A172</f>
        <v>2.0991056695353345</v>
      </c>
      <c r="AB171" s="39">
        <f>indtastning!F187/indtastning!E187</f>
        <v>1.6666666666666665</v>
      </c>
      <c r="AC171" s="40">
        <f t="shared" si="89"/>
        <v>5.6666666666666661</v>
      </c>
      <c r="AD171" s="40">
        <f t="shared" si="90"/>
        <v>598.66882278631397</v>
      </c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</row>
    <row r="172" spans="1:44" x14ac:dyDescent="0.25">
      <c r="A172" s="37">
        <v>161</v>
      </c>
      <c r="B172" s="39">
        <f>B171+U171</f>
        <v>133.40128311710268</v>
      </c>
      <c r="C172" s="39">
        <f>indtastning!E188</f>
        <v>1.02</v>
      </c>
      <c r="D172" s="40">
        <f t="shared" si="82"/>
        <v>0.88700000000000001</v>
      </c>
      <c r="E172" s="40">
        <f t="shared" si="81"/>
        <v>0.91699999999999993</v>
      </c>
      <c r="F172" s="40">
        <f t="shared" si="83"/>
        <v>0.98499999999999999</v>
      </c>
      <c r="G172" s="40">
        <f t="shared" si="84"/>
        <v>0.98499999999999999</v>
      </c>
      <c r="H172" s="50">
        <f t="shared" si="103"/>
        <v>4.3824245081800939</v>
      </c>
      <c r="I172" s="39">
        <f>IF(indtastning!J$23&gt;4.9,5,IF(indtastning!J$23&lt;indtastning!G188,indtastning!J$23,indtastning!G188))</f>
        <v>3.4</v>
      </c>
      <c r="J172" s="39">
        <f>IF(I172&lt;H172,I172,H172)</f>
        <v>3.4</v>
      </c>
      <c r="K172" s="42">
        <f t="shared" si="85"/>
        <v>3.4386313083247648</v>
      </c>
      <c r="L172" s="46">
        <f t="shared" si="105"/>
        <v>0.94522872124254065</v>
      </c>
      <c r="M172" s="42">
        <f>K172*L172</f>
        <v>3.2502930743923821</v>
      </c>
      <c r="N172" s="39">
        <f>indtastning!D188</f>
        <v>4</v>
      </c>
      <c r="O172" s="48">
        <f>M172*N172</f>
        <v>13.001172297569529</v>
      </c>
      <c r="P172" s="39">
        <f t="shared" si="86"/>
        <v>15.992032765265002</v>
      </c>
      <c r="Q172" s="48">
        <f t="shared" si="87"/>
        <v>13.992032765265002</v>
      </c>
      <c r="R172" s="39">
        <f t="shared" si="104"/>
        <v>20.954994732096658</v>
      </c>
      <c r="S172" s="41">
        <f t="shared" si="88"/>
        <v>15.992032765265002</v>
      </c>
      <c r="T172" s="42">
        <f>S172/N172</f>
        <v>3.9980081913162504</v>
      </c>
      <c r="U172" s="42">
        <f>J172/T172</f>
        <v>0.85042347021320874</v>
      </c>
      <c r="V172" s="51">
        <f>(B172-$B$11)/(A172-$A$11)*1000</f>
        <v>789.44896346026508</v>
      </c>
      <c r="W172" s="48">
        <f>W171+J172</f>
        <v>341.35601279518886</v>
      </c>
      <c r="X172" s="39">
        <f>(W171/(B172-$B$11))</f>
        <v>2.6589504409945151</v>
      </c>
      <c r="Y172" s="48">
        <f>S172+Y171</f>
        <v>2690.0649975672268</v>
      </c>
      <c r="Z172" s="39">
        <f>Y172/(A173-$A$11)</f>
        <v>16.605339491155721</v>
      </c>
      <c r="AA172" s="39">
        <f>W172/A173</f>
        <v>2.1071358814517831</v>
      </c>
      <c r="AB172" s="39">
        <f>indtastning!F188/indtastning!E188</f>
        <v>1.6666666666666665</v>
      </c>
      <c r="AC172" s="40">
        <f t="shared" si="89"/>
        <v>5.6666666666666661</v>
      </c>
      <c r="AD172" s="40">
        <f t="shared" si="90"/>
        <v>604.3354894529806</v>
      </c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</row>
    <row r="173" spans="1:44" x14ac:dyDescent="0.25">
      <c r="A173" s="28">
        <v>162</v>
      </c>
      <c r="B173" s="41">
        <f>B172+U172</f>
        <v>134.25170658731588</v>
      </c>
      <c r="C173" s="39">
        <f>indtastning!E189</f>
        <v>1.02</v>
      </c>
      <c r="D173" s="40">
        <f t="shared" si="82"/>
        <v>0.88700000000000001</v>
      </c>
      <c r="E173" s="40">
        <f t="shared" si="81"/>
        <v>0.91699999999999993</v>
      </c>
      <c r="F173" s="40">
        <f t="shared" si="83"/>
        <v>0.98499999999999999</v>
      </c>
      <c r="G173" s="40">
        <f t="shared" si="84"/>
        <v>0.98499999999999999</v>
      </c>
      <c r="H173" s="50">
        <f t="shared" si="103"/>
        <v>4.3856213326071529</v>
      </c>
      <c r="I173" s="39">
        <f>IF(indtastning!J$23&gt;4.9,5,IF(indtastning!J$23&lt;indtastning!G189,indtastning!J$23,indtastning!G189))</f>
        <v>3.4</v>
      </c>
      <c r="J173" s="41">
        <f>IF(I173&lt;H173,I173,H173)</f>
        <v>3.4</v>
      </c>
      <c r="K173" s="40">
        <f t="shared" si="85"/>
        <v>3.4520176036892316</v>
      </c>
      <c r="L173" s="46">
        <f t="shared" si="105"/>
        <v>0.94513348727889313</v>
      </c>
      <c r="M173" s="40">
        <f>K173*L173</f>
        <v>3.2626174359229316</v>
      </c>
      <c r="N173" s="39">
        <f>indtastning!D189</f>
        <v>4</v>
      </c>
      <c r="O173" s="45">
        <f>M173*N173</f>
        <v>13.050469743691727</v>
      </c>
      <c r="P173" s="39">
        <f t="shared" si="86"/>
        <v>15.995631418996449</v>
      </c>
      <c r="Q173" s="48">
        <f t="shared" si="87"/>
        <v>13.995631418996449</v>
      </c>
      <c r="R173" s="39">
        <f t="shared" si="104"/>
        <v>20.958670387070093</v>
      </c>
      <c r="S173" s="41">
        <f t="shared" si="88"/>
        <v>15.995631418996449</v>
      </c>
      <c r="T173" s="40">
        <f>S173/N173</f>
        <v>3.9989078547491124</v>
      </c>
      <c r="U173" s="40">
        <f>J173/T173</f>
        <v>0.85023214424962357</v>
      </c>
      <c r="V173" s="44">
        <f>(B173-$B$11)/(A173-$A$11)*1000</f>
        <v>789.82534930441909</v>
      </c>
      <c r="W173" s="45">
        <f>W172+J173</f>
        <v>344.75601279518884</v>
      </c>
      <c r="X173" s="41">
        <f>(W172/(B173-$B$11))</f>
        <v>2.6678504093436466</v>
      </c>
      <c r="Y173" s="45">
        <f>S173+Y172</f>
        <v>2706.060628986223</v>
      </c>
      <c r="Z173" s="41">
        <f>Y173/(A174-$A$11)</f>
        <v>16.601598950835726</v>
      </c>
      <c r="AA173" s="41">
        <f>W173/A174</f>
        <v>2.1150675631606677</v>
      </c>
      <c r="AB173" s="39">
        <f>indtastning!F189/indtastning!E189</f>
        <v>1.6666666666666665</v>
      </c>
      <c r="AC173" s="40">
        <f t="shared" si="89"/>
        <v>5.6666666666666661</v>
      </c>
      <c r="AD173" s="40">
        <f t="shared" si="90"/>
        <v>610.00215611964722</v>
      </c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</row>
    <row r="174" spans="1:44" x14ac:dyDescent="0.25">
      <c r="A174" s="28">
        <v>163</v>
      </c>
      <c r="B174" s="41">
        <f>B173+U173</f>
        <v>135.1019387315655</v>
      </c>
      <c r="C174" s="39">
        <f>indtastning!E190</f>
        <v>1.02</v>
      </c>
      <c r="D174" s="40">
        <f t="shared" si="82"/>
        <v>0.88700000000000001</v>
      </c>
      <c r="E174" s="40">
        <f t="shared" si="81"/>
        <v>0.91699999999999993</v>
      </c>
      <c r="F174" s="40">
        <f t="shared" si="83"/>
        <v>0.98499999999999999</v>
      </c>
      <c r="G174" s="40">
        <f t="shared" si="84"/>
        <v>0.98499999999999999</v>
      </c>
      <c r="H174" s="50">
        <f t="shared" si="103"/>
        <v>4.3885041000078218</v>
      </c>
      <c r="I174" s="39">
        <f>IF(indtastning!J$23&gt;4.9,5,IF(indtastning!J$23&lt;indtastning!G190,indtastning!J$23,indtastning!G190))</f>
        <v>3.4</v>
      </c>
      <c r="J174" s="41">
        <f>IF(I174&lt;H174,I174,H174)</f>
        <v>3.4</v>
      </c>
      <c r="K174" s="40">
        <f t="shared" si="85"/>
        <v>3.4654008874413091</v>
      </c>
      <c r="L174" s="46">
        <f t="shared" si="105"/>
        <v>0.94503997377089322</v>
      </c>
      <c r="M174" s="40">
        <f>K174*L174</f>
        <v>3.2749423637731647</v>
      </c>
      <c r="N174" s="39">
        <f>indtastning!D190</f>
        <v>4</v>
      </c>
      <c r="O174" s="45">
        <f>M174*N174</f>
        <v>13.099769455092659</v>
      </c>
      <c r="P174" s="39">
        <f t="shared" si="86"/>
        <v>15.999220159315371</v>
      </c>
      <c r="Q174" s="48">
        <f t="shared" si="87"/>
        <v>13.999220159315371</v>
      </c>
      <c r="R174" s="39">
        <f t="shared" si="104"/>
        <v>20.962333595537725</v>
      </c>
      <c r="S174" s="41">
        <f t="shared" si="88"/>
        <v>15.999220159315371</v>
      </c>
      <c r="T174" s="40">
        <f>S174/N174</f>
        <v>3.9998050398288427</v>
      </c>
      <c r="U174" s="40">
        <f>J174/T174</f>
        <v>0.85004143105572227</v>
      </c>
      <c r="V174" s="44">
        <f>(B174-$B$11)/(A174-$A$11)*1000</f>
        <v>790.19594313843857</v>
      </c>
      <c r="W174" s="45">
        <f>W173+J174</f>
        <v>348.15601279518881</v>
      </c>
      <c r="X174" s="41">
        <f>(W173/(B174-$B$11))</f>
        <v>2.6766368285316773</v>
      </c>
      <c r="Y174" s="45">
        <f>S174+Y173</f>
        <v>2722.0598491455385</v>
      </c>
      <c r="Z174" s="41">
        <f>Y174/(A175-$A$11)</f>
        <v>16.597925909424013</v>
      </c>
      <c r="AA174" s="41">
        <f>W174/A175</f>
        <v>2.1229025170438343</v>
      </c>
      <c r="AB174" s="39">
        <f>indtastning!F190/indtastning!E190</f>
        <v>1.6666666666666665</v>
      </c>
      <c r="AC174" s="40">
        <f t="shared" si="89"/>
        <v>5.6666666666666661</v>
      </c>
      <c r="AD174" s="40">
        <f t="shared" si="90"/>
        <v>615.66882278631385</v>
      </c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</row>
    <row r="175" spans="1:44" x14ac:dyDescent="0.25">
      <c r="A175" s="28">
        <v>164</v>
      </c>
      <c r="B175" s="41">
        <f t="shared" ref="B175:B180" si="106">B174+U174</f>
        <v>135.95198016262123</v>
      </c>
      <c r="C175" s="39">
        <f>indtastning!E191</f>
        <v>1.02</v>
      </c>
      <c r="D175" s="40">
        <f t="shared" si="82"/>
        <v>0.88700000000000001</v>
      </c>
      <c r="E175" s="40">
        <f t="shared" si="81"/>
        <v>0.91699999999999993</v>
      </c>
      <c r="F175" s="40">
        <f t="shared" si="83"/>
        <v>0.98499999999999999</v>
      </c>
      <c r="G175" s="40">
        <f t="shared" si="84"/>
        <v>0.98499999999999999</v>
      </c>
      <c r="H175" s="50">
        <f t="shared" si="103"/>
        <v>4.3910730236265536</v>
      </c>
      <c r="I175" s="39">
        <f>IF(indtastning!J$23&gt;4.9,5,IF(indtastning!J$23&lt;indtastning!G191,indtastning!J$23,indtastning!G191))</f>
        <v>3.4</v>
      </c>
      <c r="J175" s="41">
        <f t="shared" ref="J175:J180" si="107">IF(I175&lt;H175,I175,H175)</f>
        <v>3.4</v>
      </c>
      <c r="K175" s="40">
        <f t="shared" si="85"/>
        <v>3.4787811692264454</v>
      </c>
      <c r="L175" s="46">
        <f t="shared" si="105"/>
        <v>0.94494814773560043</v>
      </c>
      <c r="M175" s="40">
        <f t="shared" ref="M175:M180" si="108">K175*L175</f>
        <v>3.2872678222380158</v>
      </c>
      <c r="N175" s="39">
        <f>indtastning!D191</f>
        <v>4</v>
      </c>
      <c r="O175" s="45">
        <f t="shared" ref="O175:O180" si="109">M175*N175</f>
        <v>13.149071288952063</v>
      </c>
      <c r="P175" s="39">
        <f t="shared" si="86"/>
        <v>16.002799075017457</v>
      </c>
      <c r="Q175" s="48">
        <f t="shared" si="87"/>
        <v>14.002799075017457</v>
      </c>
      <c r="R175" s="39">
        <f t="shared" si="104"/>
        <v>20.965984477437935</v>
      </c>
      <c r="S175" s="41">
        <f t="shared" si="88"/>
        <v>16.002799075017457</v>
      </c>
      <c r="T175" s="40">
        <f t="shared" ref="T175:T180" si="110">S175/N175</f>
        <v>4.0006997687543642</v>
      </c>
      <c r="U175" s="40">
        <f t="shared" ref="U175:U180" si="111">J175/T175</f>
        <v>0.84985132514920136</v>
      </c>
      <c r="V175" s="44">
        <f t="shared" ref="V175:V180" si="112">(B175-$B$11)/(A175-$A$11)*1000</f>
        <v>790.56085465012939</v>
      </c>
      <c r="W175" s="45">
        <f t="shared" ref="W175:W180" si="113">W174+J175</f>
        <v>351.55601279518879</v>
      </c>
      <c r="X175" s="41">
        <f t="shared" ref="X175:X180" si="114">(W174/(B175-$B$11))</f>
        <v>2.6853119586642649</v>
      </c>
      <c r="Y175" s="45">
        <f t="shared" ref="Y175:Y180" si="115">S175+Y174</f>
        <v>2738.0626482205557</v>
      </c>
      <c r="Z175" s="41">
        <f t="shared" ref="Z175:Z180" si="116">Y175/(A176-$A$11)</f>
        <v>16.594319080124581</v>
      </c>
      <c r="AA175" s="41">
        <f t="shared" ref="AA175:AA180" si="117">W175/A176</f>
        <v>2.1306425017890231</v>
      </c>
      <c r="AB175" s="39">
        <f>indtastning!F191/indtastning!E191</f>
        <v>1.6666666666666665</v>
      </c>
      <c r="AC175" s="40">
        <f t="shared" si="89"/>
        <v>5.6666666666666661</v>
      </c>
      <c r="AD175" s="40">
        <f t="shared" si="90"/>
        <v>621.33548945298048</v>
      </c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</row>
    <row r="176" spans="1:44" x14ac:dyDescent="0.25">
      <c r="A176" s="28">
        <v>165</v>
      </c>
      <c r="B176" s="41">
        <f t="shared" si="106"/>
        <v>136.80183148777041</v>
      </c>
      <c r="C176" s="39">
        <f>indtastning!E192</f>
        <v>1.02</v>
      </c>
      <c r="D176" s="40">
        <f t="shared" si="82"/>
        <v>0.88700000000000001</v>
      </c>
      <c r="E176" s="40">
        <f t="shared" si="81"/>
        <v>0.91699999999999993</v>
      </c>
      <c r="F176" s="40">
        <f t="shared" si="83"/>
        <v>0.98499999999999999</v>
      </c>
      <c r="G176" s="40">
        <f t="shared" si="84"/>
        <v>0.98499999999999999</v>
      </c>
      <c r="H176" s="50">
        <f t="shared" si="103"/>
        <v>4.3933283157438732</v>
      </c>
      <c r="I176" s="39">
        <f>IF(indtastning!J$23&gt;4.9,5,IF(indtastning!J$23&lt;indtastning!G192,indtastning!J$23,indtastning!G192))</f>
        <v>3.4</v>
      </c>
      <c r="J176" s="41">
        <f t="shared" si="107"/>
        <v>3.4</v>
      </c>
      <c r="K176" s="40">
        <f t="shared" si="85"/>
        <v>3.4921584586037939</v>
      </c>
      <c r="L176" s="46">
        <f t="shared" si="105"/>
        <v>0.94485797700311458</v>
      </c>
      <c r="M176" s="40">
        <f t="shared" si="108"/>
        <v>3.2995937765706955</v>
      </c>
      <c r="N176" s="39">
        <f>indtastning!D192</f>
        <v>4</v>
      </c>
      <c r="O176" s="45">
        <f t="shared" si="109"/>
        <v>13.198375106282782</v>
      </c>
      <c r="P176" s="39">
        <f t="shared" si="86"/>
        <v>16.00636825354082</v>
      </c>
      <c r="Q176" s="48">
        <f t="shared" si="87"/>
        <v>14.00636825354082</v>
      </c>
      <c r="R176" s="39">
        <f t="shared" si="104"/>
        <v>20.96962315079589</v>
      </c>
      <c r="S176" s="41">
        <f t="shared" si="88"/>
        <v>16.00636825354082</v>
      </c>
      <c r="T176" s="40">
        <f t="shared" si="110"/>
        <v>4.0015920633852051</v>
      </c>
      <c r="U176" s="40">
        <f t="shared" si="111"/>
        <v>0.8496618211311926</v>
      </c>
      <c r="V176" s="44">
        <f t="shared" si="112"/>
        <v>790.92019083497212</v>
      </c>
      <c r="W176" s="45">
        <f t="shared" si="113"/>
        <v>354.95601279518877</v>
      </c>
      <c r="X176" s="41">
        <f t="shared" si="114"/>
        <v>2.6938779999277926</v>
      </c>
      <c r="Y176" s="45">
        <f t="shared" si="115"/>
        <v>2754.0690164740968</v>
      </c>
      <c r="Z176" s="41">
        <f t="shared" si="116"/>
        <v>16.590777207675281</v>
      </c>
      <c r="AA176" s="41">
        <f t="shared" si="117"/>
        <v>2.1382892337059562</v>
      </c>
      <c r="AB176" s="39">
        <f>indtastning!F192/indtastning!E192</f>
        <v>1.6666666666666665</v>
      </c>
      <c r="AC176" s="40">
        <f t="shared" si="89"/>
        <v>5.6666666666666661</v>
      </c>
      <c r="AD176" s="40">
        <f t="shared" si="90"/>
        <v>627.00215611964711</v>
      </c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</row>
    <row r="177" spans="1:44" x14ac:dyDescent="0.25">
      <c r="A177" s="28">
        <v>166</v>
      </c>
      <c r="B177" s="41">
        <f t="shared" si="106"/>
        <v>137.65149330890159</v>
      </c>
      <c r="C177" s="39">
        <f>indtastning!E193</f>
        <v>1.02</v>
      </c>
      <c r="D177" s="40">
        <f t="shared" si="82"/>
        <v>0.88700000000000001</v>
      </c>
      <c r="E177" s="40">
        <f t="shared" si="81"/>
        <v>0.91699999999999993</v>
      </c>
      <c r="F177" s="40">
        <f t="shared" si="83"/>
        <v>0.98499999999999999</v>
      </c>
      <c r="G177" s="40">
        <f t="shared" si="84"/>
        <v>0.98499999999999999</v>
      </c>
      <c r="H177" s="50">
        <f t="shared" si="103"/>
        <v>4.3952701876871432</v>
      </c>
      <c r="I177" s="39">
        <f>IF(indtastning!J$23&gt;4.9,5,IF(indtastning!J$23&lt;indtastning!G193,indtastning!J$23,indtastning!G193))</f>
        <v>3.4</v>
      </c>
      <c r="J177" s="41">
        <f t="shared" si="107"/>
        <v>3.4</v>
      </c>
      <c r="K177" s="40">
        <f t="shared" si="85"/>
        <v>3.5055327650475254</v>
      </c>
      <c r="L177" s="46">
        <f t="shared" si="105"/>
        <v>0.94476943019188209</v>
      </c>
      <c r="M177" s="40">
        <f t="shared" si="108"/>
        <v>3.3119201929529236</v>
      </c>
      <c r="N177" s="39">
        <f>indtastning!D193</f>
        <v>4</v>
      </c>
      <c r="O177" s="45">
        <f t="shared" si="109"/>
        <v>13.247680771811694</v>
      </c>
      <c r="P177" s="39">
        <f t="shared" si="86"/>
        <v>16.009927780995231</v>
      </c>
      <c r="Q177" s="48">
        <f t="shared" si="87"/>
        <v>14.009927780995231</v>
      </c>
      <c r="R177" s="39">
        <f t="shared" si="104"/>
        <v>20.97324973176601</v>
      </c>
      <c r="S177" s="41">
        <f t="shared" si="88"/>
        <v>16.009927780995231</v>
      </c>
      <c r="T177" s="40">
        <f t="shared" si="110"/>
        <v>4.0024819452488076</v>
      </c>
      <c r="U177" s="40">
        <f t="shared" si="111"/>
        <v>0.84947291368447253</v>
      </c>
      <c r="V177" s="44">
        <f t="shared" si="112"/>
        <v>791.27405607772039</v>
      </c>
      <c r="W177" s="45">
        <f t="shared" si="113"/>
        <v>358.35601279518875</v>
      </c>
      <c r="X177" s="41">
        <f t="shared" si="114"/>
        <v>2.7023370945652867</v>
      </c>
      <c r="Y177" s="45">
        <f t="shared" si="115"/>
        <v>2770.0789442550922</v>
      </c>
      <c r="Z177" s="41">
        <f t="shared" si="116"/>
        <v>16.587299067395762</v>
      </c>
      <c r="AA177" s="41">
        <f t="shared" si="117"/>
        <v>2.1458443879951421</v>
      </c>
      <c r="AB177" s="39">
        <f>indtastning!F193/indtastning!E193</f>
        <v>1.6666666666666665</v>
      </c>
      <c r="AC177" s="40">
        <f t="shared" si="89"/>
        <v>5.6666666666666661</v>
      </c>
      <c r="AD177" s="40">
        <f t="shared" si="90"/>
        <v>632.66882278631374</v>
      </c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</row>
    <row r="178" spans="1:44" x14ac:dyDescent="0.25">
      <c r="A178" s="28">
        <v>167</v>
      </c>
      <c r="B178" s="41">
        <f t="shared" si="106"/>
        <v>138.50096622258607</v>
      </c>
      <c r="C178" s="39">
        <f>indtastning!E194</f>
        <v>1.02</v>
      </c>
      <c r="D178" s="40">
        <f t="shared" si="82"/>
        <v>0.88700000000000001</v>
      </c>
      <c r="E178" s="40">
        <f t="shared" si="81"/>
        <v>0.91699999999999993</v>
      </c>
      <c r="F178" s="40">
        <f t="shared" si="83"/>
        <v>0.98499999999999999</v>
      </c>
      <c r="G178" s="40">
        <f t="shared" si="84"/>
        <v>0.98499999999999999</v>
      </c>
      <c r="H178" s="50">
        <f t="shared" si="103"/>
        <v>4.3968988498411683</v>
      </c>
      <c r="I178" s="39">
        <f>IF(indtastning!J$23&gt;4.9,5,IF(indtastning!J$23&lt;indtastning!G194,indtastning!J$23,indtastning!G194))</f>
        <v>3.4</v>
      </c>
      <c r="J178" s="41">
        <f t="shared" si="107"/>
        <v>3.4</v>
      </c>
      <c r="K178" s="40">
        <f t="shared" si="85"/>
        <v>3.5189040979481145</v>
      </c>
      <c r="L178" s="46">
        <f t="shared" si="105"/>
        <v>0.94468247668489413</v>
      </c>
      <c r="M178" s="40">
        <f t="shared" si="108"/>
        <v>3.3242470384662481</v>
      </c>
      <c r="N178" s="39">
        <f>indtastning!D194</f>
        <v>4</v>
      </c>
      <c r="O178" s="45">
        <f t="shared" si="109"/>
        <v>13.296988153864993</v>
      </c>
      <c r="P178" s="39">
        <f t="shared" si="86"/>
        <v>16.013477742190556</v>
      </c>
      <c r="Q178" s="48">
        <f t="shared" si="87"/>
        <v>14.013477742190556</v>
      </c>
      <c r="R178" s="39">
        <f t="shared" si="104"/>
        <v>20.97686433467323</v>
      </c>
      <c r="S178" s="41">
        <f t="shared" si="88"/>
        <v>16.013477742190556</v>
      </c>
      <c r="T178" s="40">
        <f t="shared" si="110"/>
        <v>4.003369435547639</v>
      </c>
      <c r="U178" s="40">
        <f t="shared" si="111"/>
        <v>0.84928459757171981</v>
      </c>
      <c r="V178" s="44">
        <f t="shared" si="112"/>
        <v>791.62255223105421</v>
      </c>
      <c r="W178" s="45">
        <f t="shared" si="113"/>
        <v>361.75601279518872</v>
      </c>
      <c r="X178" s="41">
        <f t="shared" si="114"/>
        <v>2.7106913287746068</v>
      </c>
      <c r="Y178" s="45">
        <f t="shared" si="115"/>
        <v>2786.0924219972826</v>
      </c>
      <c r="Z178" s="41">
        <f t="shared" si="116"/>
        <v>16.58388346426954</v>
      </c>
      <c r="AA178" s="41">
        <f t="shared" si="117"/>
        <v>2.1533095999713616</v>
      </c>
      <c r="AB178" s="39">
        <f>indtastning!F194/indtastning!E194</f>
        <v>1.6666666666666665</v>
      </c>
      <c r="AC178" s="40">
        <f t="shared" si="89"/>
        <v>5.6666666666666661</v>
      </c>
      <c r="AD178" s="40">
        <f t="shared" si="90"/>
        <v>638.33548945298037</v>
      </c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</row>
    <row r="179" spans="1:44" x14ac:dyDescent="0.25">
      <c r="A179" s="37">
        <v>168</v>
      </c>
      <c r="B179" s="39">
        <f t="shared" si="106"/>
        <v>139.35025082015778</v>
      </c>
      <c r="C179" s="39">
        <f>indtastning!E195</f>
        <v>1.02</v>
      </c>
      <c r="D179" s="40">
        <f t="shared" si="82"/>
        <v>0.88700000000000001</v>
      </c>
      <c r="E179" s="42">
        <f t="shared" si="81"/>
        <v>0.91699999999999993</v>
      </c>
      <c r="F179" s="42">
        <f t="shared" si="83"/>
        <v>0.98499999999999999</v>
      </c>
      <c r="G179" s="40">
        <f t="shared" si="84"/>
        <v>0.98499999999999999</v>
      </c>
      <c r="H179" s="50">
        <f t="shared" si="103"/>
        <v>4.3982145116585567</v>
      </c>
      <c r="I179" s="39">
        <f>IF(indtastning!J$23&gt;4.9,5,IF(indtastning!J$23&lt;indtastning!G195,indtastning!J$23,indtastning!G195))</f>
        <v>3.4</v>
      </c>
      <c r="J179" s="39">
        <f t="shared" si="107"/>
        <v>3.4</v>
      </c>
      <c r="K179" s="42">
        <f t="shared" si="85"/>
        <v>3.5322724666135952</v>
      </c>
      <c r="L179" s="46">
        <f t="shared" si="105"/>
        <v>0.94459708660673858</v>
      </c>
      <c r="M179" s="42">
        <f t="shared" si="108"/>
        <v>3.3365742810644003</v>
      </c>
      <c r="N179" s="39">
        <f>indtastning!D195</f>
        <v>4</v>
      </c>
      <c r="O179" s="48">
        <f t="shared" si="109"/>
        <v>13.346297124257601</v>
      </c>
      <c r="P179" s="39">
        <f t="shared" si="86"/>
        <v>16.017018220664422</v>
      </c>
      <c r="Q179" s="48">
        <f t="shared" si="87"/>
        <v>14.017018220664422</v>
      </c>
      <c r="R179" s="39">
        <f t="shared" si="104"/>
        <v>20.980467072053084</v>
      </c>
      <c r="S179" s="41">
        <f t="shared" si="88"/>
        <v>16.017018220664422</v>
      </c>
      <c r="T179" s="42">
        <f t="shared" si="110"/>
        <v>4.0042545551661055</v>
      </c>
      <c r="U179" s="42">
        <f t="shared" si="111"/>
        <v>0.84909686763382108</v>
      </c>
      <c r="V179" s="51">
        <f t="shared" si="112"/>
        <v>791.96577869141527</v>
      </c>
      <c r="W179" s="48">
        <f t="shared" si="113"/>
        <v>365.1560127951887</v>
      </c>
      <c r="X179" s="39">
        <f t="shared" si="114"/>
        <v>2.7189427345324546</v>
      </c>
      <c r="Y179" s="48">
        <f t="shared" si="115"/>
        <v>2802.1094402179469</v>
      </c>
      <c r="Z179" s="39">
        <f t="shared" si="116"/>
        <v>16.580529232058858</v>
      </c>
      <c r="AA179" s="39">
        <f t="shared" si="117"/>
        <v>2.1606864662437202</v>
      </c>
      <c r="AB179" s="39">
        <f>indtastning!F195/indtastning!E195</f>
        <v>1.6666666666666665</v>
      </c>
      <c r="AC179" s="40">
        <f t="shared" si="89"/>
        <v>5.6666666666666661</v>
      </c>
      <c r="AD179" s="40">
        <f t="shared" si="90"/>
        <v>644.002156119647</v>
      </c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</row>
    <row r="180" spans="1:44" x14ac:dyDescent="0.25">
      <c r="A180" s="28">
        <v>169</v>
      </c>
      <c r="B180" s="41">
        <f t="shared" si="106"/>
        <v>140.1993476877916</v>
      </c>
      <c r="C180" s="39">
        <f>indtastning!E196</f>
        <v>1.02</v>
      </c>
      <c r="D180" s="40">
        <f t="shared" si="82"/>
        <v>0.88700000000000001</v>
      </c>
      <c r="E180" s="40">
        <f t="shared" si="81"/>
        <v>0.91699999999999993</v>
      </c>
      <c r="F180" s="40">
        <f t="shared" si="83"/>
        <v>0.98499999999999999</v>
      </c>
      <c r="G180" s="40">
        <f t="shared" si="84"/>
        <v>0.98499999999999999</v>
      </c>
      <c r="H180" s="50">
        <f t="shared" si="103"/>
        <v>4.3992173816699376</v>
      </c>
      <c r="I180" s="39">
        <f>IF(indtastning!J$23&gt;4.9,5,IF(indtastning!J$23&lt;indtastning!G196,indtastning!J$23,indtastning!G196))</f>
        <v>3.4</v>
      </c>
      <c r="J180" s="41">
        <f t="shared" si="107"/>
        <v>3.4</v>
      </c>
      <c r="K180" s="42">
        <f t="shared" si="85"/>
        <v>3.5456378802707937</v>
      </c>
      <c r="L180" s="46">
        <f t="shared" si="105"/>
        <v>0.94451323080147154</v>
      </c>
      <c r="M180" s="40">
        <f t="shared" si="108"/>
        <v>3.3489018895466485</v>
      </c>
      <c r="N180" s="39">
        <f>indtastning!D196</f>
        <v>4</v>
      </c>
      <c r="O180" s="45">
        <f t="shared" si="109"/>
        <v>13.395607558186594</v>
      </c>
      <c r="P180" s="39">
        <f t="shared" si="86"/>
        <v>16.020549298709113</v>
      </c>
      <c r="Q180" s="48">
        <f t="shared" si="87"/>
        <v>14.020549298709113</v>
      </c>
      <c r="R180" s="39">
        <f t="shared" si="104"/>
        <v>20.984058054690696</v>
      </c>
      <c r="S180" s="41">
        <f t="shared" si="88"/>
        <v>16.020549298709113</v>
      </c>
      <c r="T180" s="40">
        <f t="shared" si="110"/>
        <v>4.0051373246772783</v>
      </c>
      <c r="U180" s="40">
        <f t="shared" si="111"/>
        <v>0.84890971878822197</v>
      </c>
      <c r="V180" s="44">
        <f t="shared" si="112"/>
        <v>792.30383247213956</v>
      </c>
      <c r="W180" s="45">
        <f t="shared" si="113"/>
        <v>368.55601279518868</v>
      </c>
      <c r="X180" s="41">
        <f t="shared" si="114"/>
        <v>2.7270932913475439</v>
      </c>
      <c r="Y180" s="45">
        <f t="shared" si="115"/>
        <v>2818.1299895166562</v>
      </c>
      <c r="Z180" s="41">
        <f t="shared" si="116"/>
        <v>16.577235232450921</v>
      </c>
      <c r="AA180" s="41">
        <f t="shared" si="117"/>
        <v>2.1679765458540512</v>
      </c>
      <c r="AB180" s="39">
        <f>indtastning!F196/indtastning!E196</f>
        <v>1.6666666666666665</v>
      </c>
      <c r="AC180" s="40">
        <f t="shared" si="89"/>
        <v>5.6666666666666661</v>
      </c>
      <c r="AD180" s="40">
        <f t="shared" si="90"/>
        <v>649.66882278631363</v>
      </c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</row>
    <row r="181" spans="1:44" x14ac:dyDescent="0.25">
      <c r="A181" s="28">
        <v>170</v>
      </c>
      <c r="B181" s="41">
        <f t="shared" ref="B181:B189" si="118">B180+U180</f>
        <v>141.04825740657984</v>
      </c>
      <c r="C181" s="39">
        <f>indtastning!E197</f>
        <v>1.02</v>
      </c>
      <c r="D181" s="40">
        <f t="shared" si="82"/>
        <v>0.88700000000000001</v>
      </c>
      <c r="E181" s="40">
        <f t="shared" ref="E181:E189" si="119">IF(C181&gt;1.12,1,IF(C181&gt;1.1,1-(1.12-C181)*0.5,IF(C181&gt;1.05,0.99-(1.1-C181)*0.8,IF(C181&gt;1,0.95-(1.05-C181)*1.1,IF(C181&lt;1.01,0.9-(1-C181)*1.4,0.8)))))</f>
        <v>0.91699999999999993</v>
      </c>
      <c r="F181" s="40">
        <f t="shared" ref="F181:F189" si="120">IF(C181&gt;1.12,1,IF(C181&gt;1.07,1,IF(C181&gt;1.02,1-(1.07-C181)*0.3,IF(C181&gt;0.98,0.985-(1.02-C181)*0.8,IF(C181&lt;0.9801,0.97-(1-C181)*1.1,0.8)))))</f>
        <v>0.98499999999999999</v>
      </c>
      <c r="G181" s="40">
        <f t="shared" si="84"/>
        <v>0.98499999999999999</v>
      </c>
      <c r="H181" s="50">
        <f t="shared" si="103"/>
        <v>4.3999076674939799</v>
      </c>
      <c r="I181" s="39">
        <f>IF(indtastning!J$23&gt;4.9,5,IF(indtastning!J$23&lt;indtastning!G197,indtastning!J$23,indtastning!G197))</f>
        <v>3.4</v>
      </c>
      <c r="J181" s="41">
        <f t="shared" ref="J181:J189" si="121">IF(I181&lt;H181,I181,H181)</f>
        <v>3.4</v>
      </c>
      <c r="K181" s="42">
        <f t="shared" ref="K181:K189" si="122">$I$5+$I$4*B181</f>
        <v>3.5590003480665349</v>
      </c>
      <c r="L181" s="46">
        <f t="shared" si="105"/>
        <v>0.94443088081127302</v>
      </c>
      <c r="M181" s="40">
        <f t="shared" ref="M181:M189" si="123">K181*L181</f>
        <v>3.3612298335321049</v>
      </c>
      <c r="N181" s="39">
        <f>indtastning!D197</f>
        <v>4</v>
      </c>
      <c r="O181" s="45">
        <f t="shared" ref="O181:O189" si="124">M181*N181</f>
        <v>13.44491933412842</v>
      </c>
      <c r="P181" s="39">
        <f t="shared" si="86"/>
        <v>16.024071057397723</v>
      </c>
      <c r="Q181" s="48">
        <f t="shared" si="87"/>
        <v>14.024071057397723</v>
      </c>
      <c r="R181" s="39">
        <f t="shared" si="104"/>
        <v>20.987637391658666</v>
      </c>
      <c r="S181" s="41">
        <f t="shared" si="88"/>
        <v>16.024071057397723</v>
      </c>
      <c r="T181" s="40">
        <f t="shared" ref="T181:T189" si="125">S181/N181</f>
        <v>4.0060177643494308</v>
      </c>
      <c r="U181" s="40">
        <f t="shared" ref="U181:U189" si="126">J181/T181</f>
        <v>0.84872314602732501</v>
      </c>
      <c r="V181" s="44">
        <f t="shared" ref="V181:V189" si="127">(B181-$B$11)/(A181-$A$11)*1000</f>
        <v>792.63680827399901</v>
      </c>
      <c r="W181" s="45">
        <f t="shared" ref="W181:W189" si="128">W180+J181</f>
        <v>371.95601279518866</v>
      </c>
      <c r="X181" s="41">
        <f t="shared" ref="X181:X189" si="129">(W180/(B181-$B$11))</f>
        <v>2.7351449279461471</v>
      </c>
      <c r="Y181" s="45">
        <f t="shared" ref="Y181:Y189" si="130">S181+Y180</f>
        <v>2834.1540605740538</v>
      </c>
      <c r="Z181" s="41">
        <f t="shared" ref="Z181:Z189" si="131">Y181/(A182-$A$11)</f>
        <v>16.574000354234233</v>
      </c>
      <c r="AA181" s="41">
        <f t="shared" ref="AA181:AA189" si="132">W181/A182</f>
        <v>2.1751813613753721</v>
      </c>
      <c r="AB181" s="39">
        <f>indtastning!F197/indtastning!E197</f>
        <v>1.6666666666666665</v>
      </c>
      <c r="AC181" s="40">
        <f t="shared" si="89"/>
        <v>5.6666666666666661</v>
      </c>
      <c r="AD181" s="40">
        <f t="shared" si="90"/>
        <v>655.33548945298026</v>
      </c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</row>
    <row r="182" spans="1:44" x14ac:dyDescent="0.25">
      <c r="A182" s="28">
        <v>171</v>
      </c>
      <c r="B182" s="41">
        <f t="shared" si="118"/>
        <v>141.89698055260715</v>
      </c>
      <c r="C182" s="39">
        <f>indtastning!E198</f>
        <v>1.02</v>
      </c>
      <c r="D182" s="40">
        <f t="shared" si="82"/>
        <v>0.88700000000000001</v>
      </c>
      <c r="E182" s="40">
        <f t="shared" si="119"/>
        <v>0.91699999999999993</v>
      </c>
      <c r="F182" s="40">
        <f t="shared" si="120"/>
        <v>0.98499999999999999</v>
      </c>
      <c r="G182" s="40">
        <f t="shared" si="84"/>
        <v>0.98499999999999999</v>
      </c>
      <c r="H182" s="50">
        <f t="shared" si="103"/>
        <v>4.4002855758472323</v>
      </c>
      <c r="I182" s="39">
        <f>IF(indtastning!J$23&gt;4.9,5,IF(indtastning!J$23&lt;indtastning!G198,indtastning!J$23,indtastning!G198))</f>
        <v>3.4</v>
      </c>
      <c r="J182" s="41">
        <f t="shared" si="121"/>
        <v>3.4</v>
      </c>
      <c r="K182" s="42">
        <f t="shared" si="122"/>
        <v>3.5723598790688165</v>
      </c>
      <c r="L182" s="46">
        <f t="shared" si="105"/>
        <v>0.94435000885585585</v>
      </c>
      <c r="M182" s="40">
        <f t="shared" si="123"/>
        <v>3.3735580834349408</v>
      </c>
      <c r="N182" s="39">
        <f>indtastning!D198</f>
        <v>4</v>
      </c>
      <c r="O182" s="45">
        <f t="shared" si="124"/>
        <v>13.494232333739763</v>
      </c>
      <c r="P182" s="39">
        <f t="shared" si="86"/>
        <v>16.027583576609636</v>
      </c>
      <c r="Q182" s="48">
        <f t="shared" si="87"/>
        <v>14.027583576609636</v>
      </c>
      <c r="R182" s="39">
        <f t="shared" si="104"/>
        <v>20.991205190353902</v>
      </c>
      <c r="S182" s="41">
        <f t="shared" si="88"/>
        <v>16.027583576609636</v>
      </c>
      <c r="T182" s="40">
        <f t="shared" si="125"/>
        <v>4.0068958941524091</v>
      </c>
      <c r="U182" s="40">
        <f t="shared" si="126"/>
        <v>0.84853714441692829</v>
      </c>
      <c r="V182" s="44">
        <f t="shared" si="127"/>
        <v>792.96479855325811</v>
      </c>
      <c r="W182" s="45">
        <f t="shared" si="128"/>
        <v>375.35601279518863</v>
      </c>
      <c r="X182" s="41">
        <f t="shared" si="129"/>
        <v>2.7430995238930267</v>
      </c>
      <c r="Y182" s="45">
        <f t="shared" si="130"/>
        <v>2850.1816441506635</v>
      </c>
      <c r="Z182" s="41">
        <f t="shared" si="131"/>
        <v>16.570823512503857</v>
      </c>
      <c r="AA182" s="41">
        <f t="shared" si="132"/>
        <v>2.182302399972027</v>
      </c>
      <c r="AB182" s="39">
        <f>indtastning!F198/indtastning!E198</f>
        <v>1.6666666666666665</v>
      </c>
      <c r="AC182" s="40">
        <f t="shared" si="89"/>
        <v>5.6666666666666661</v>
      </c>
      <c r="AD182" s="40">
        <f t="shared" si="90"/>
        <v>661.00215611964688</v>
      </c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</row>
    <row r="183" spans="1:44" x14ac:dyDescent="0.25">
      <c r="A183" s="28">
        <v>172</v>
      </c>
      <c r="B183" s="41">
        <f t="shared" si="118"/>
        <v>142.74551769702407</v>
      </c>
      <c r="C183" s="39">
        <f>indtastning!E199</f>
        <v>1.02</v>
      </c>
      <c r="D183" s="40">
        <f t="shared" si="82"/>
        <v>0.88700000000000001</v>
      </c>
      <c r="E183" s="40">
        <f t="shared" si="119"/>
        <v>0.91699999999999993</v>
      </c>
      <c r="F183" s="40">
        <f t="shared" si="120"/>
        <v>0.98499999999999999</v>
      </c>
      <c r="G183" s="40">
        <f t="shared" si="84"/>
        <v>0.98499999999999999</v>
      </c>
      <c r="H183" s="50">
        <f t="shared" si="103"/>
        <v>4.4003513125538003</v>
      </c>
      <c r="I183" s="39">
        <f>IF(indtastning!J$23&gt;4.9,5,IF(indtastning!J$23&lt;indtastning!G199,indtastning!J$23,indtastning!G199))</f>
        <v>3.4</v>
      </c>
      <c r="J183" s="41">
        <f t="shared" si="121"/>
        <v>3.4</v>
      </c>
      <c r="K183" s="42">
        <f t="shared" si="122"/>
        <v>3.5857164822679719</v>
      </c>
      <c r="L183" s="46">
        <f t="shared" si="105"/>
        <v>0.94427058781259643</v>
      </c>
      <c r="M183" s="40">
        <f t="shared" si="123"/>
        <v>3.3858866104404934</v>
      </c>
      <c r="N183" s="39">
        <f>indtastning!D199</f>
        <v>4</v>
      </c>
      <c r="O183" s="45">
        <f t="shared" si="124"/>
        <v>13.543546441761974</v>
      </c>
      <c r="P183" s="39">
        <f t="shared" si="86"/>
        <v>16.031086935055288</v>
      </c>
      <c r="Q183" s="48">
        <f t="shared" si="87"/>
        <v>14.031086935055288</v>
      </c>
      <c r="R183" s="39">
        <f t="shared" si="104"/>
        <v>20.994761556533454</v>
      </c>
      <c r="S183" s="41">
        <f t="shared" si="88"/>
        <v>16.031086935055288</v>
      </c>
      <c r="T183" s="40">
        <f t="shared" si="125"/>
        <v>4.0077717337638221</v>
      </c>
      <c r="U183" s="40">
        <f t="shared" si="126"/>
        <v>0.84835170909470814</v>
      </c>
      <c r="V183" s="44">
        <f t="shared" si="127"/>
        <v>793.28789358734923</v>
      </c>
      <c r="W183" s="45">
        <f t="shared" si="128"/>
        <v>378.75601279518861</v>
      </c>
      <c r="X183" s="41">
        <f t="shared" si="129"/>
        <v>2.750958911150625</v>
      </c>
      <c r="Y183" s="45">
        <f t="shared" si="130"/>
        <v>2866.2127310857186</v>
      </c>
      <c r="Z183" s="41">
        <f t="shared" si="131"/>
        <v>16.567703647894326</v>
      </c>
      <c r="AA183" s="41">
        <f t="shared" si="132"/>
        <v>2.1893411144230557</v>
      </c>
      <c r="AB183" s="39">
        <f>indtastning!F199/indtastning!E199</f>
        <v>1.6666666666666665</v>
      </c>
      <c r="AC183" s="40">
        <f t="shared" si="89"/>
        <v>5.6666666666666661</v>
      </c>
      <c r="AD183" s="40">
        <f t="shared" si="90"/>
        <v>666.66882278631351</v>
      </c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</row>
    <row r="184" spans="1:44" x14ac:dyDescent="0.25">
      <c r="A184" s="28">
        <v>173</v>
      </c>
      <c r="B184" s="41">
        <f t="shared" si="118"/>
        <v>143.59386940611878</v>
      </c>
      <c r="C184" s="39">
        <f>indtastning!E200</f>
        <v>1.02</v>
      </c>
      <c r="D184" s="40">
        <f t="shared" si="82"/>
        <v>0.88700000000000001</v>
      </c>
      <c r="E184" s="40">
        <f t="shared" si="119"/>
        <v>0.91699999999999993</v>
      </c>
      <c r="F184" s="40">
        <f t="shared" si="120"/>
        <v>0.98499999999999999</v>
      </c>
      <c r="G184" s="40">
        <f t="shared" si="84"/>
        <v>0.98499999999999999</v>
      </c>
      <c r="H184" s="50">
        <f t="shared" si="103"/>
        <v>4.4001050825548358</v>
      </c>
      <c r="I184" s="39">
        <f>IF(indtastning!J$23&gt;4.9,5,IF(indtastning!J$23&lt;indtastning!G200,indtastning!J$23,indtastning!G200))</f>
        <v>3.4</v>
      </c>
      <c r="J184" s="41">
        <f t="shared" si="121"/>
        <v>3.4</v>
      </c>
      <c r="K184" s="42">
        <f t="shared" si="122"/>
        <v>3.5990701665777958</v>
      </c>
      <c r="L184" s="46">
        <f t="shared" si="105"/>
        <v>0.94419259119735821</v>
      </c>
      <c r="M184" s="40">
        <f t="shared" si="123"/>
        <v>3.3982153864821965</v>
      </c>
      <c r="N184" s="39">
        <f>indtastning!D200</f>
        <v>4</v>
      </c>
      <c r="O184" s="45">
        <f t="shared" si="124"/>
        <v>13.592861545928786</v>
      </c>
      <c r="P184" s="39">
        <f t="shared" si="86"/>
        <v>16.034581210300285</v>
      </c>
      <c r="Q184" s="48">
        <f t="shared" si="87"/>
        <v>14.034581210300285</v>
      </c>
      <c r="R184" s="39">
        <f t="shared" si="104"/>
        <v>20.998306594349373</v>
      </c>
      <c r="S184" s="41">
        <f t="shared" si="88"/>
        <v>16.034581210300285</v>
      </c>
      <c r="T184" s="40">
        <f t="shared" si="125"/>
        <v>4.0086453025750712</v>
      </c>
      <c r="U184" s="40">
        <f t="shared" si="126"/>
        <v>0.84816683526874026</v>
      </c>
      <c r="V184" s="44">
        <f t="shared" si="127"/>
        <v>793.60618153825874</v>
      </c>
      <c r="W184" s="45">
        <f t="shared" si="128"/>
        <v>382.15601279518859</v>
      </c>
      <c r="X184" s="41">
        <f t="shared" si="129"/>
        <v>2.7587248755792486</v>
      </c>
      <c r="Y184" s="45">
        <f t="shared" si="130"/>
        <v>2882.2473122960187</v>
      </c>
      <c r="Z184" s="41">
        <f t="shared" si="131"/>
        <v>16.564639725839189</v>
      </c>
      <c r="AA184" s="41">
        <f t="shared" si="132"/>
        <v>2.196298924110279</v>
      </c>
      <c r="AB184" s="39">
        <f>indtastning!F200/indtastning!E200</f>
        <v>1.6666666666666665</v>
      </c>
      <c r="AC184" s="40">
        <f t="shared" si="89"/>
        <v>5.6666666666666661</v>
      </c>
      <c r="AD184" s="40">
        <f t="shared" si="90"/>
        <v>672.33548945298014</v>
      </c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</row>
    <row r="185" spans="1:44" x14ac:dyDescent="0.25">
      <c r="A185" s="28">
        <v>174</v>
      </c>
      <c r="B185" s="41">
        <f t="shared" si="118"/>
        <v>144.44203624138751</v>
      </c>
      <c r="C185" s="39">
        <f>indtastning!E201</f>
        <v>1.02</v>
      </c>
      <c r="D185" s="40">
        <f t="shared" si="82"/>
        <v>0.88700000000000001</v>
      </c>
      <c r="E185" s="40">
        <f t="shared" si="119"/>
        <v>0.91699999999999993</v>
      </c>
      <c r="F185" s="40">
        <f t="shared" si="120"/>
        <v>0.98499999999999999</v>
      </c>
      <c r="G185" s="40">
        <f t="shared" si="84"/>
        <v>0.98499999999999999</v>
      </c>
      <c r="H185" s="50">
        <f t="shared" si="103"/>
        <v>4.3995470899178883</v>
      </c>
      <c r="I185" s="39">
        <f>IF(indtastning!J$23&gt;4.9,5,IF(indtastning!J$23&lt;indtastning!G201,indtastning!J$23,indtastning!G201))</f>
        <v>3.4</v>
      </c>
      <c r="J185" s="41">
        <f t="shared" si="121"/>
        <v>3.4</v>
      </c>
      <c r="K185" s="42">
        <f t="shared" si="122"/>
        <v>3.6124209408366554</v>
      </c>
      <c r="L185" s="46">
        <f t="shared" si="105"/>
        <v>0.94411599314597983</v>
      </c>
      <c r="M185" s="40">
        <f t="shared" si="123"/>
        <v>3.4105443842193339</v>
      </c>
      <c r="N185" s="39">
        <f>indtastning!D201</f>
        <v>4</v>
      </c>
      <c r="O185" s="45">
        <f t="shared" si="124"/>
        <v>13.642177536877336</v>
      </c>
      <c r="P185" s="39">
        <f t="shared" si="86"/>
        <v>16.038066478788863</v>
      </c>
      <c r="Q185" s="48">
        <f t="shared" si="87"/>
        <v>14.038066478788863</v>
      </c>
      <c r="R185" s="39">
        <f t="shared" si="104"/>
        <v>21.001840406382595</v>
      </c>
      <c r="S185" s="41">
        <f t="shared" si="88"/>
        <v>16.038066478788863</v>
      </c>
      <c r="T185" s="40">
        <f t="shared" si="125"/>
        <v>4.0095166196972158</v>
      </c>
      <c r="U185" s="40">
        <f t="shared" si="126"/>
        <v>0.84798251821606252</v>
      </c>
      <c r="V185" s="44">
        <f t="shared" si="127"/>
        <v>793.91974851372129</v>
      </c>
      <c r="W185" s="45">
        <f t="shared" si="128"/>
        <v>385.55601279518856</v>
      </c>
      <c r="X185" s="41">
        <f t="shared" si="129"/>
        <v>2.7663991583808305</v>
      </c>
      <c r="Y185" s="45">
        <f t="shared" si="130"/>
        <v>2898.2853787748077</v>
      </c>
      <c r="Z185" s="41">
        <f t="shared" si="131"/>
        <v>16.561630735856046</v>
      </c>
      <c r="AA185" s="41">
        <f t="shared" si="132"/>
        <v>2.2031772159725063</v>
      </c>
      <c r="AB185" s="39">
        <f>indtastning!F201/indtastning!E201</f>
        <v>1.6666666666666665</v>
      </c>
      <c r="AC185" s="40">
        <f t="shared" si="89"/>
        <v>5.6666666666666661</v>
      </c>
      <c r="AD185" s="40">
        <f t="shared" si="90"/>
        <v>678.00215611964677</v>
      </c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</row>
    <row r="186" spans="1:44" x14ac:dyDescent="0.25">
      <c r="A186" s="37">
        <v>175</v>
      </c>
      <c r="B186" s="39">
        <f t="shared" si="118"/>
        <v>145.29001875960358</v>
      </c>
      <c r="C186" s="39">
        <f>indtastning!E202</f>
        <v>1.02</v>
      </c>
      <c r="D186" s="40">
        <f t="shared" si="82"/>
        <v>0.88700000000000001</v>
      </c>
      <c r="E186" s="42">
        <f t="shared" si="119"/>
        <v>0.91699999999999993</v>
      </c>
      <c r="F186" s="42">
        <f t="shared" si="120"/>
        <v>0.98499999999999999</v>
      </c>
      <c r="G186" s="40">
        <f t="shared" si="84"/>
        <v>0.98499999999999999</v>
      </c>
      <c r="H186" s="50">
        <f t="shared" si="103"/>
        <v>4.3986775378460754</v>
      </c>
      <c r="I186" s="39">
        <f>IF(indtastning!J$23&gt;4.9,5,IF(indtastning!J$23&lt;indtastning!G202,indtastning!J$23,indtastning!G202))</f>
        <v>3.4</v>
      </c>
      <c r="J186" s="39">
        <f t="shared" si="121"/>
        <v>3.4</v>
      </c>
      <c r="K186" s="42">
        <f t="shared" si="122"/>
        <v>3.6257688138085751</v>
      </c>
      <c r="L186" s="46">
        <f t="shared" si="105"/>
        <v>0.94404076839640116</v>
      </c>
      <c r="M186" s="42">
        <f t="shared" si="123"/>
        <v>3.4228735770155554</v>
      </c>
      <c r="N186" s="39">
        <f>indtastning!D202</f>
        <v>4</v>
      </c>
      <c r="O186" s="48">
        <f t="shared" si="124"/>
        <v>13.691494308062222</v>
      </c>
      <c r="P186" s="39">
        <f t="shared" si="86"/>
        <v>16.041542815866766</v>
      </c>
      <c r="Q186" s="48">
        <f t="shared" si="87"/>
        <v>14.041542815866766</v>
      </c>
      <c r="R186" s="39">
        <f t="shared" si="104"/>
        <v>21.005363093675943</v>
      </c>
      <c r="S186" s="41">
        <f t="shared" si="88"/>
        <v>16.041542815866766</v>
      </c>
      <c r="T186" s="42">
        <f t="shared" si="125"/>
        <v>4.0103857039666915</v>
      </c>
      <c r="U186" s="42">
        <f t="shared" si="126"/>
        <v>0.84779875328127263</v>
      </c>
      <c r="V186" s="51">
        <f t="shared" si="127"/>
        <v>794.22867862630608</v>
      </c>
      <c r="W186" s="48">
        <f t="shared" si="128"/>
        <v>388.95601279518854</v>
      </c>
      <c r="X186" s="39">
        <f t="shared" si="129"/>
        <v>2.7739834574887299</v>
      </c>
      <c r="Y186" s="48">
        <f t="shared" si="130"/>
        <v>2914.3269215906744</v>
      </c>
      <c r="Z186" s="39">
        <f t="shared" si="131"/>
        <v>16.558675690856106</v>
      </c>
      <c r="AA186" s="39">
        <f t="shared" si="132"/>
        <v>2.2099773454272076</v>
      </c>
      <c r="AB186" s="39">
        <f>indtastning!F202/indtastning!E202</f>
        <v>1.6666666666666665</v>
      </c>
      <c r="AC186" s="40">
        <f t="shared" si="89"/>
        <v>5.6666666666666661</v>
      </c>
      <c r="AD186" s="40">
        <f t="shared" si="90"/>
        <v>683.6688227863134</v>
      </c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</row>
    <row r="187" spans="1:44" x14ac:dyDescent="0.25">
      <c r="A187" s="28">
        <v>176</v>
      </c>
      <c r="B187" s="41">
        <f t="shared" si="118"/>
        <v>146.13781751288485</v>
      </c>
      <c r="C187" s="39">
        <f>indtastning!E203</f>
        <v>1.02</v>
      </c>
      <c r="D187" s="40">
        <f t="shared" si="82"/>
        <v>0.88700000000000001</v>
      </c>
      <c r="E187" s="40">
        <f t="shared" si="119"/>
        <v>0.91699999999999993</v>
      </c>
      <c r="F187" s="40">
        <f t="shared" si="120"/>
        <v>0.98499999999999999</v>
      </c>
      <c r="G187" s="40">
        <f t="shared" si="84"/>
        <v>0.98499999999999999</v>
      </c>
      <c r="H187" s="50">
        <f t="shared" si="103"/>
        <v>4.3974966286870973</v>
      </c>
      <c r="I187" s="39">
        <f>IF(indtastning!J$23&gt;4.9,5,IF(indtastning!J$23&lt;indtastning!G203,indtastning!J$23,indtastning!G203))</f>
        <v>3.4</v>
      </c>
      <c r="J187" s="41">
        <f t="shared" si="121"/>
        <v>3.4</v>
      </c>
      <c r="K187" s="42">
        <f t="shared" si="122"/>
        <v>3.6391137941842988</v>
      </c>
      <c r="L187" s="46">
        <f t="shared" si="105"/>
        <v>0.94396689227140274</v>
      </c>
      <c r="M187" s="40">
        <f t="shared" si="123"/>
        <v>3.4352029389181458</v>
      </c>
      <c r="N187" s="39">
        <f>indtastning!D203</f>
        <v>4</v>
      </c>
      <c r="O187" s="45">
        <f t="shared" si="124"/>
        <v>13.740811755672583</v>
      </c>
      <c r="P187" s="39">
        <f t="shared" si="86"/>
        <v>16.045010295803479</v>
      </c>
      <c r="Q187" s="48">
        <f t="shared" si="87"/>
        <v>14.045010295803479</v>
      </c>
      <c r="R187" s="39">
        <f t="shared" si="104"/>
        <v>21.008874755766225</v>
      </c>
      <c r="S187" s="41">
        <f t="shared" si="88"/>
        <v>16.045010295803479</v>
      </c>
      <c r="T187" s="40">
        <f t="shared" si="125"/>
        <v>4.0112525739508698</v>
      </c>
      <c r="U187" s="40">
        <f t="shared" si="126"/>
        <v>0.84761553587516458</v>
      </c>
      <c r="V187" s="44">
        <f t="shared" si="127"/>
        <v>794.53305405048206</v>
      </c>
      <c r="W187" s="45">
        <f t="shared" si="128"/>
        <v>392.35601279518852</v>
      </c>
      <c r="X187" s="41">
        <f t="shared" si="129"/>
        <v>2.7814794289059153</v>
      </c>
      <c r="Y187" s="45">
        <f t="shared" si="130"/>
        <v>2930.3719318864778</v>
      </c>
      <c r="Z187" s="41">
        <f t="shared" si="131"/>
        <v>16.555773626477276</v>
      </c>
      <c r="AA187" s="41">
        <f t="shared" si="132"/>
        <v>2.2167006372609519</v>
      </c>
      <c r="AB187" s="39">
        <f>indtastning!F203/indtastning!E203</f>
        <v>1.6666666666666665</v>
      </c>
      <c r="AC187" s="40">
        <f t="shared" si="89"/>
        <v>5.6666666666666661</v>
      </c>
      <c r="AD187" s="40">
        <f t="shared" si="90"/>
        <v>689.33548945298003</v>
      </c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</row>
    <row r="188" spans="1:44" x14ac:dyDescent="0.25">
      <c r="A188" s="28">
        <v>177</v>
      </c>
      <c r="B188" s="41">
        <f t="shared" si="118"/>
        <v>146.98543304876003</v>
      </c>
      <c r="C188" s="39">
        <f>indtastning!E204</f>
        <v>1.02</v>
      </c>
      <c r="D188" s="40">
        <f t="shared" si="82"/>
        <v>0.88700000000000001</v>
      </c>
      <c r="E188" s="40">
        <f t="shared" si="119"/>
        <v>0.91699999999999993</v>
      </c>
      <c r="F188" s="40">
        <f t="shared" si="120"/>
        <v>0.98499999999999999</v>
      </c>
      <c r="G188" s="40">
        <f t="shared" si="84"/>
        <v>0.98499999999999999</v>
      </c>
      <c r="H188" s="50">
        <f t="shared" si="103"/>
        <v>4.3960045639421166</v>
      </c>
      <c r="I188" s="39">
        <f>IF(indtastning!J$23&gt;4.9,5,IF(indtastning!J$23&lt;indtastning!G204,indtastning!J$23,indtastning!G204))</f>
        <v>3.4</v>
      </c>
      <c r="J188" s="41">
        <f t="shared" si="121"/>
        <v>3.4</v>
      </c>
      <c r="K188" s="42">
        <f t="shared" si="122"/>
        <v>3.6524558905823339</v>
      </c>
      <c r="L188" s="46">
        <f t="shared" si="105"/>
        <v>0.9438943406619319</v>
      </c>
      <c r="M188" s="40">
        <f t="shared" si="123"/>
        <v>3.4475324446380013</v>
      </c>
      <c r="N188" s="39">
        <f>indtastning!D204</f>
        <v>4</v>
      </c>
      <c r="O188" s="45">
        <f t="shared" si="124"/>
        <v>13.790129778552005</v>
      </c>
      <c r="P188" s="39">
        <f t="shared" si="86"/>
        <v>16.048468991813909</v>
      </c>
      <c r="Q188" s="48">
        <f t="shared" si="87"/>
        <v>14.048468991813909</v>
      </c>
      <c r="R188" s="39">
        <f t="shared" si="104"/>
        <v>21.012375490715481</v>
      </c>
      <c r="S188" s="41">
        <f t="shared" si="88"/>
        <v>16.048468991813909</v>
      </c>
      <c r="T188" s="40">
        <f t="shared" si="125"/>
        <v>4.0121172479534772</v>
      </c>
      <c r="U188" s="40">
        <f t="shared" si="126"/>
        <v>0.84743286147340047</v>
      </c>
      <c r="V188" s="44">
        <f t="shared" si="127"/>
        <v>794.83295507774017</v>
      </c>
      <c r="W188" s="45">
        <f t="shared" si="128"/>
        <v>395.7560127951885</v>
      </c>
      <c r="X188" s="41">
        <f t="shared" si="129"/>
        <v>2.7888886879937473</v>
      </c>
      <c r="Y188" s="45">
        <f t="shared" si="130"/>
        <v>2946.4204008782917</v>
      </c>
      <c r="Z188" s="41">
        <f t="shared" si="131"/>
        <v>16.55292360043984</v>
      </c>
      <c r="AA188" s="41">
        <f t="shared" si="132"/>
        <v>2.2233483864898229</v>
      </c>
      <c r="AB188" s="39">
        <f>indtastning!F204/indtastning!E204</f>
        <v>1.6666666666666665</v>
      </c>
      <c r="AC188" s="40">
        <f t="shared" si="89"/>
        <v>5.6666666666666661</v>
      </c>
      <c r="AD188" s="40">
        <f t="shared" si="90"/>
        <v>695.00215611964666</v>
      </c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</row>
    <row r="189" spans="1:44" x14ac:dyDescent="0.25">
      <c r="A189" s="28">
        <v>178</v>
      </c>
      <c r="B189" s="41">
        <f t="shared" si="118"/>
        <v>147.83286591023344</v>
      </c>
      <c r="C189" s="39">
        <f>indtastning!E205</f>
        <v>1.02</v>
      </c>
      <c r="D189" s="40">
        <f t="shared" si="82"/>
        <v>0.88700000000000001</v>
      </c>
      <c r="E189" s="40">
        <f t="shared" si="119"/>
        <v>0.91699999999999993</v>
      </c>
      <c r="F189" s="40">
        <f t="shared" si="120"/>
        <v>0.98499999999999999</v>
      </c>
      <c r="G189" s="40">
        <f t="shared" si="84"/>
        <v>0.98499999999999999</v>
      </c>
      <c r="H189" s="50">
        <f t="shared" si="103"/>
        <v>4.3942015442744573</v>
      </c>
      <c r="I189" s="39">
        <f>IF(indtastning!J$23&gt;4.9,5,IF(indtastning!J$23&lt;indtastning!G205,indtastning!J$23,indtastning!G205))</f>
        <v>3.4</v>
      </c>
      <c r="J189" s="41">
        <f t="shared" si="121"/>
        <v>3.4</v>
      </c>
      <c r="K189" s="42">
        <f t="shared" si="122"/>
        <v>3.6657951115499712</v>
      </c>
      <c r="L189" s="46">
        <f t="shared" si="105"/>
        <v>0.94382309001099607</v>
      </c>
      <c r="M189" s="40">
        <f t="shared" si="123"/>
        <v>3.4598620695302977</v>
      </c>
      <c r="N189" s="39">
        <f>indtastning!D205</f>
        <v>4</v>
      </c>
      <c r="O189" s="45">
        <f t="shared" si="124"/>
        <v>13.839448278121191</v>
      </c>
      <c r="P189" s="39">
        <f t="shared" si="86"/>
        <v>16.051918976079502</v>
      </c>
      <c r="Q189" s="48">
        <f t="shared" si="87"/>
        <v>14.051918976079502</v>
      </c>
      <c r="R189" s="39">
        <f t="shared" si="104"/>
        <v>21.015865395141393</v>
      </c>
      <c r="S189" s="41">
        <f t="shared" si="88"/>
        <v>16.051918976079502</v>
      </c>
      <c r="T189" s="40">
        <f t="shared" si="125"/>
        <v>4.0129797440198756</v>
      </c>
      <c r="U189" s="40">
        <f t="shared" si="126"/>
        <v>0.84725072561521519</v>
      </c>
      <c r="V189" s="44">
        <f t="shared" si="127"/>
        <v>795.12846016985077</v>
      </c>
      <c r="W189" s="45">
        <f t="shared" si="128"/>
        <v>399.15601279518847</v>
      </c>
      <c r="X189" s="41">
        <f t="shared" si="129"/>
        <v>2.7962128107134845</v>
      </c>
      <c r="Y189" s="45">
        <f t="shared" si="130"/>
        <v>2962.4723198543711</v>
      </c>
      <c r="Z189" s="41">
        <f t="shared" si="131"/>
        <v>16.550124691923862</v>
      </c>
      <c r="AA189" s="41">
        <f t="shared" si="132"/>
        <v>2.2299218591909971</v>
      </c>
      <c r="AB189" s="39">
        <f>indtastning!F205/indtastning!E205</f>
        <v>1.6666666666666665</v>
      </c>
      <c r="AC189" s="40">
        <f t="shared" si="89"/>
        <v>5.6666666666666661</v>
      </c>
      <c r="AD189" s="40">
        <f t="shared" si="90"/>
        <v>700.66882278631329</v>
      </c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</row>
    <row r="190" spans="1:44" x14ac:dyDescent="0.25">
      <c r="A190" s="28">
        <v>179</v>
      </c>
      <c r="B190" s="41">
        <f t="shared" ref="B190:B195" si="133">B189+U189</f>
        <v>148.68011663584866</v>
      </c>
      <c r="C190" s="39">
        <f>indtastning!E206</f>
        <v>1.02</v>
      </c>
      <c r="D190" s="40">
        <f t="shared" si="82"/>
        <v>0.88700000000000001</v>
      </c>
      <c r="E190" s="40">
        <f t="shared" ref="E190:E195" si="134">IF(C190&gt;1.12,1,IF(C190&gt;1.1,1-(1.12-C190)*0.5,IF(C190&gt;1.05,0.99-(1.1-C190)*0.8,IF(C190&gt;1,0.95-(1.05-C190)*1.1,IF(C190&lt;1.01,0.9-(1-C190)*1.4,0.8)))))</f>
        <v>0.91699999999999993</v>
      </c>
      <c r="F190" s="40">
        <f t="shared" ref="F190:F195" si="135">IF(C190&gt;1.12,1,IF(C190&gt;1.07,1,IF(C190&gt;1.02,1-(1.07-C190)*0.3,IF(C190&gt;0.98,0.985-(1.02-C190)*0.8,IF(C190&lt;0.9801,0.97-(1-C190)*1.1,0.8)))))</f>
        <v>0.98499999999999999</v>
      </c>
      <c r="G190" s="40">
        <f t="shared" si="84"/>
        <v>0.98499999999999999</v>
      </c>
      <c r="H190" s="50">
        <f t="shared" si="103"/>
        <v>4.3920877695181959</v>
      </c>
      <c r="I190" s="39">
        <f>IF(indtastning!J$23&gt;4.9,5,IF(indtastning!J$23&lt;indtastning!G206,indtastning!J$23,indtastning!G206))</f>
        <v>3.4</v>
      </c>
      <c r="J190" s="41">
        <f t="shared" ref="J190:J195" si="136">IF(I190&lt;H190,I190,H190)</f>
        <v>3.4</v>
      </c>
      <c r="K190" s="42">
        <f t="shared" ref="K190:K195" si="137">$I$5+$I$4*B190</f>
        <v>3.6791314655642848</v>
      </c>
      <c r="L190" s="46">
        <f t="shared" si="105"/>
        <v>0.94375311729809663</v>
      </c>
      <c r="M190" s="40">
        <f t="shared" ref="M190:M195" si="138">K190*L190</f>
        <v>3.4721917895758088</v>
      </c>
      <c r="N190" s="39">
        <f>indtastning!D206</f>
        <v>4</v>
      </c>
      <c r="O190" s="45">
        <f t="shared" ref="O190:O195" si="139">M190*N190</f>
        <v>13.888767158303235</v>
      </c>
      <c r="P190" s="39">
        <f t="shared" si="86"/>
        <v>16.055360319768802</v>
      </c>
      <c r="Q190" s="48">
        <f t="shared" si="87"/>
        <v>14.055360319768802</v>
      </c>
      <c r="R190" s="39">
        <f t="shared" si="104"/>
        <v>21.019344564246911</v>
      </c>
      <c r="S190" s="41">
        <f t="shared" si="88"/>
        <v>16.055360319768802</v>
      </c>
      <c r="T190" s="40">
        <f t="shared" ref="T190:T195" si="140">S190/N190</f>
        <v>4.0138400799422005</v>
      </c>
      <c r="U190" s="40">
        <f t="shared" ref="U190:U195" si="141">J190/T190</f>
        <v>0.84706912390215605</v>
      </c>
      <c r="V190" s="44">
        <f t="shared" ref="V190:V195" si="142">(B190-$B$11)/(A190-$A$11)*1000</f>
        <v>795.41964601032771</v>
      </c>
      <c r="W190" s="45">
        <f t="shared" ref="W190:W195" si="143">W189+J190</f>
        <v>402.55601279518845</v>
      </c>
      <c r="X190" s="41">
        <f t="shared" ref="X190:X195" si="144">(W189/(B190-$B$11))</f>
        <v>2.8034533348225144</v>
      </c>
      <c r="Y190" s="45">
        <f t="shared" ref="Y190:Y195" si="145">S190+Y189</f>
        <v>2978.5276801741397</v>
      </c>
      <c r="Z190" s="41">
        <f t="shared" ref="Z190:Z195" si="146">Y190/(A191-$A$11)</f>
        <v>16.547376000967443</v>
      </c>
      <c r="AA190" s="41">
        <f t="shared" ref="AA190:AA195" si="147">W190/A191</f>
        <v>2.2364222933066027</v>
      </c>
      <c r="AB190" s="39">
        <f>indtastning!F206/indtastning!E206</f>
        <v>1.6666666666666665</v>
      </c>
      <c r="AC190" s="40">
        <f t="shared" si="89"/>
        <v>5.6666666666666661</v>
      </c>
      <c r="AD190" s="40">
        <f t="shared" si="90"/>
        <v>706.33548945297991</v>
      </c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</row>
    <row r="191" spans="1:44" x14ac:dyDescent="0.25">
      <c r="A191" s="28">
        <v>180</v>
      </c>
      <c r="B191" s="41">
        <f t="shared" si="133"/>
        <v>149.52718575975081</v>
      </c>
      <c r="C191" s="39">
        <f>indtastning!E207</f>
        <v>1.02</v>
      </c>
      <c r="D191" s="40">
        <f t="shared" si="82"/>
        <v>0.88700000000000001</v>
      </c>
      <c r="E191" s="40">
        <f t="shared" si="134"/>
        <v>0.91699999999999993</v>
      </c>
      <c r="F191" s="40">
        <f t="shared" si="135"/>
        <v>0.98499999999999999</v>
      </c>
      <c r="G191" s="40">
        <f t="shared" si="84"/>
        <v>0.98499999999999999</v>
      </c>
      <c r="H191" s="50">
        <f t="shared" si="103"/>
        <v>4.3896634386865685</v>
      </c>
      <c r="I191" s="39">
        <f>IF(indtastning!J$23&gt;4.9,5,IF(indtastning!J$23&lt;indtastning!G207,indtastning!J$23,indtastning!G207))</f>
        <v>3.4</v>
      </c>
      <c r="J191" s="41">
        <f t="shared" si="136"/>
        <v>3.4</v>
      </c>
      <c r="K191" s="42">
        <f t="shared" si="137"/>
        <v>3.6924649610331146</v>
      </c>
      <c r="L191" s="46">
        <f t="shared" si="105"/>
        <v>0.94368440002418608</v>
      </c>
      <c r="M191" s="40">
        <f t="shared" si="138"/>
        <v>3.4845215813628645</v>
      </c>
      <c r="N191" s="39">
        <f>indtastning!D207</f>
        <v>4</v>
      </c>
      <c r="O191" s="45">
        <f t="shared" si="139"/>
        <v>13.938086325451458</v>
      </c>
      <c r="P191" s="39">
        <f t="shared" si="86"/>
        <v>16.058793093057503</v>
      </c>
      <c r="Q191" s="48">
        <f t="shared" si="87"/>
        <v>14.058793093057503</v>
      </c>
      <c r="R191" s="39">
        <f t="shared" si="104"/>
        <v>21.022813091849081</v>
      </c>
      <c r="S191" s="41">
        <f t="shared" si="88"/>
        <v>16.058793093057503</v>
      </c>
      <c r="T191" s="40">
        <f t="shared" si="140"/>
        <v>4.0146982732643757</v>
      </c>
      <c r="U191" s="40">
        <f t="shared" si="141"/>
        <v>0.8468880519968538</v>
      </c>
      <c r="V191" s="44">
        <f t="shared" si="142"/>
        <v>795.70658755417116</v>
      </c>
      <c r="W191" s="45">
        <f t="shared" si="143"/>
        <v>405.95601279518843</v>
      </c>
      <c r="X191" s="41">
        <f t="shared" si="144"/>
        <v>2.8106117610272374</v>
      </c>
      <c r="Y191" s="45">
        <f t="shared" si="145"/>
        <v>2994.5864732671971</v>
      </c>
      <c r="Z191" s="41">
        <f t="shared" si="146"/>
        <v>16.544676647885066</v>
      </c>
      <c r="AA191" s="41">
        <f t="shared" si="147"/>
        <v>2.2428508994209304</v>
      </c>
      <c r="AB191" s="39">
        <f>indtastning!F207/indtastning!E207</f>
        <v>1.6666666666666665</v>
      </c>
      <c r="AC191" s="40">
        <f t="shared" si="89"/>
        <v>5.6666666666666661</v>
      </c>
      <c r="AD191" s="40">
        <f t="shared" si="90"/>
        <v>712.00215611964654</v>
      </c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</row>
    <row r="192" spans="1:44" x14ac:dyDescent="0.25">
      <c r="A192" s="28">
        <v>181</v>
      </c>
      <c r="B192" s="41">
        <f t="shared" si="133"/>
        <v>150.37407381174765</v>
      </c>
      <c r="C192" s="39">
        <f>indtastning!E208</f>
        <v>1.02</v>
      </c>
      <c r="D192" s="40">
        <f t="shared" si="82"/>
        <v>0.88700000000000001</v>
      </c>
      <c r="E192" s="40">
        <f t="shared" si="134"/>
        <v>0.91699999999999993</v>
      </c>
      <c r="F192" s="40">
        <f t="shared" si="135"/>
        <v>0.98499999999999999</v>
      </c>
      <c r="G192" s="40">
        <f t="shared" si="84"/>
        <v>0.98499999999999999</v>
      </c>
      <c r="H192" s="50">
        <f t="shared" si="103"/>
        <v>4.3869287499802709</v>
      </c>
      <c r="I192" s="39">
        <f>IF(indtastning!J$23&gt;4.9,5,IF(indtastning!J$23&lt;indtastning!G208,indtastning!J$23,indtastning!G208))</f>
        <v>3.4</v>
      </c>
      <c r="J192" s="41">
        <f t="shared" si="136"/>
        <v>3.4</v>
      </c>
      <c r="K192" s="42">
        <f t="shared" si="137"/>
        <v>3.7057956062960282</v>
      </c>
      <c r="L192" s="46">
        <f t="shared" si="105"/>
        <v>0.94361691619712673</v>
      </c>
      <c r="M192" s="40">
        <f t="shared" si="138"/>
        <v>3.4968514220699198</v>
      </c>
      <c r="N192" s="39">
        <f>indtastning!D208</f>
        <v>4</v>
      </c>
      <c r="O192" s="45">
        <f t="shared" si="139"/>
        <v>13.987405688279679</v>
      </c>
      <c r="P192" s="39">
        <f t="shared" si="86"/>
        <v>16.062217365147959</v>
      </c>
      <c r="Q192" s="48">
        <f t="shared" si="87"/>
        <v>14.062217365147959</v>
      </c>
      <c r="R192" s="39">
        <f t="shared" si="104"/>
        <v>21.026271070407141</v>
      </c>
      <c r="S192" s="41">
        <f t="shared" si="88"/>
        <v>16.062217365147959</v>
      </c>
      <c r="T192" s="40">
        <f t="shared" si="140"/>
        <v>4.0155543412869896</v>
      </c>
      <c r="U192" s="40">
        <f t="shared" si="141"/>
        <v>0.84670750562182562</v>
      </c>
      <c r="V192" s="44">
        <f t="shared" si="142"/>
        <v>795.98935807595387</v>
      </c>
      <c r="W192" s="45">
        <f t="shared" si="143"/>
        <v>409.35601279518841</v>
      </c>
      <c r="X192" s="41">
        <f t="shared" si="144"/>
        <v>2.8176895540944109</v>
      </c>
      <c r="Y192" s="45">
        <f t="shared" si="145"/>
        <v>3010.6486906323453</v>
      </c>
      <c r="Z192" s="41">
        <f t="shared" si="146"/>
        <v>16.542025772705195</v>
      </c>
      <c r="AA192" s="41">
        <f t="shared" si="147"/>
        <v>2.2492088615120243</v>
      </c>
      <c r="AB192" s="39">
        <f>indtastning!F208/indtastning!E208</f>
        <v>1.6666666666666665</v>
      </c>
      <c r="AC192" s="40">
        <f t="shared" si="89"/>
        <v>5.6666666666666661</v>
      </c>
      <c r="AD192" s="40">
        <f t="shared" si="90"/>
        <v>717.66882278631317</v>
      </c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</row>
    <row r="193" spans="1:44" x14ac:dyDescent="0.25">
      <c r="A193" s="37">
        <v>182</v>
      </c>
      <c r="B193" s="39">
        <f t="shared" si="133"/>
        <v>151.22078131736947</v>
      </c>
      <c r="C193" s="39">
        <f>indtastning!E209</f>
        <v>1.02</v>
      </c>
      <c r="D193" s="40">
        <f t="shared" si="82"/>
        <v>0.88700000000000001</v>
      </c>
      <c r="E193" s="42">
        <f t="shared" si="134"/>
        <v>0.91699999999999993</v>
      </c>
      <c r="F193" s="42">
        <f t="shared" si="135"/>
        <v>0.98499999999999999</v>
      </c>
      <c r="G193" s="40">
        <f t="shared" si="84"/>
        <v>0.98499999999999999</v>
      </c>
      <c r="H193" s="50">
        <f t="shared" si="103"/>
        <v>4.3838839007956087</v>
      </c>
      <c r="I193" s="39">
        <f>IF(indtastning!J$23&gt;4.9,5,IF(indtastning!J$23&lt;indtastning!G209,indtastning!J$23,indtastning!G209))</f>
        <v>3.4</v>
      </c>
      <c r="J193" s="39">
        <f t="shared" si="136"/>
        <v>3.4</v>
      </c>
      <c r="K193" s="42">
        <f t="shared" si="137"/>
        <v>3.7191234096252606</v>
      </c>
      <c r="L193" s="46">
        <f t="shared" si="105"/>
        <v>0.94355064431762992</v>
      </c>
      <c r="M193" s="42">
        <f t="shared" si="138"/>
        <v>3.5091812894486951</v>
      </c>
      <c r="N193" s="39">
        <f>indtastning!D209</f>
        <v>4</v>
      </c>
      <c r="O193" s="48">
        <f t="shared" si="139"/>
        <v>14.03672515779478</v>
      </c>
      <c r="P193" s="39">
        <f t="shared" si="86"/>
        <v>16.065633204288247</v>
      </c>
      <c r="Q193" s="48">
        <f t="shared" si="87"/>
        <v>14.065633204288247</v>
      </c>
      <c r="R193" s="39">
        <f t="shared" si="104"/>
        <v>21.029718591049878</v>
      </c>
      <c r="S193" s="41">
        <f t="shared" si="88"/>
        <v>16.065633204288247</v>
      </c>
      <c r="T193" s="42">
        <f t="shared" si="140"/>
        <v>4.0164083010720617</v>
      </c>
      <c r="U193" s="42">
        <f t="shared" si="141"/>
        <v>0.84652748055830629</v>
      </c>
      <c r="V193" s="51">
        <f t="shared" si="142"/>
        <v>796.26802921631565</v>
      </c>
      <c r="W193" s="48">
        <f t="shared" si="143"/>
        <v>412.75601279518838</v>
      </c>
      <c r="X193" s="39">
        <f t="shared" si="144"/>
        <v>2.8246881439227041</v>
      </c>
      <c r="Y193" s="48">
        <f t="shared" si="145"/>
        <v>3026.7143238366334</v>
      </c>
      <c r="Z193" s="39">
        <f t="shared" si="146"/>
        <v>16.539422534626411</v>
      </c>
      <c r="AA193" s="39">
        <f t="shared" si="147"/>
        <v>2.2554973376786251</v>
      </c>
      <c r="AB193" s="39">
        <f>indtastning!F209/indtastning!E209</f>
        <v>1.6666666666666665</v>
      </c>
      <c r="AC193" s="40">
        <f t="shared" si="89"/>
        <v>5.6666666666666661</v>
      </c>
      <c r="AD193" s="40">
        <f t="shared" si="90"/>
        <v>723.3354894529798</v>
      </c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</row>
    <row r="194" spans="1:44" x14ac:dyDescent="0.25">
      <c r="A194" s="28">
        <v>183</v>
      </c>
      <c r="B194" s="41">
        <f t="shared" si="133"/>
        <v>152.06730879792778</v>
      </c>
      <c r="C194" s="39">
        <f>indtastning!E210</f>
        <v>1.02</v>
      </c>
      <c r="D194" s="40">
        <f t="shared" si="82"/>
        <v>0.88700000000000001</v>
      </c>
      <c r="E194" s="40">
        <f t="shared" si="134"/>
        <v>0.91699999999999993</v>
      </c>
      <c r="F194" s="40">
        <f t="shared" si="135"/>
        <v>0.98499999999999999</v>
      </c>
      <c r="G194" s="40">
        <f t="shared" si="84"/>
        <v>0.98499999999999999</v>
      </c>
      <c r="H194" s="50">
        <f t="shared" si="103"/>
        <v>4.3805290877325156</v>
      </c>
      <c r="I194" s="39">
        <f>IF(indtastning!J$23&gt;4.9,5,IF(indtastning!J$23&lt;indtastning!G210,indtastning!J$23,indtastning!G210))</f>
        <v>3.4</v>
      </c>
      <c r="J194" s="41">
        <f t="shared" si="136"/>
        <v>3.4</v>
      </c>
      <c r="K194" s="42">
        <f t="shared" si="137"/>
        <v>3.7324483792266414</v>
      </c>
      <c r="L194" s="46">
        <f t="shared" si="105"/>
        <v>0.94348556336566036</v>
      </c>
      <c r="M194" s="40">
        <f t="shared" si="138"/>
        <v>3.5215111618078936</v>
      </c>
      <c r="N194" s="39">
        <f>indtastning!D210</f>
        <v>4</v>
      </c>
      <c r="O194" s="45">
        <f t="shared" si="139"/>
        <v>14.086044647231574</v>
      </c>
      <c r="P194" s="39">
        <f t="shared" si="86"/>
        <v>16.06904067779071</v>
      </c>
      <c r="Q194" s="48">
        <f t="shared" si="87"/>
        <v>14.06904067779071</v>
      </c>
      <c r="R194" s="39">
        <f t="shared" si="104"/>
        <v>21.033155743602276</v>
      </c>
      <c r="S194" s="41">
        <f t="shared" si="88"/>
        <v>16.11343291889726</v>
      </c>
      <c r="T194" s="40">
        <f t="shared" si="140"/>
        <v>4.028358229724315</v>
      </c>
      <c r="U194" s="40">
        <f t="shared" si="141"/>
        <v>0.84401629798268529</v>
      </c>
      <c r="V194" s="44">
        <f t="shared" si="142"/>
        <v>796.54267102692768</v>
      </c>
      <c r="W194" s="45">
        <f t="shared" si="143"/>
        <v>416.15601279518836</v>
      </c>
      <c r="X194" s="41">
        <f t="shared" si="144"/>
        <v>2.8316089265761084</v>
      </c>
      <c r="Y194" s="45">
        <f t="shared" si="145"/>
        <v>3042.8277567555306</v>
      </c>
      <c r="Z194" s="41">
        <f t="shared" si="146"/>
        <v>16.537107373671361</v>
      </c>
      <c r="AA194" s="41">
        <f t="shared" si="147"/>
        <v>2.261717460843415</v>
      </c>
      <c r="AB194" s="39">
        <f>indtastning!F210/indtastning!E210</f>
        <v>1.6666666666666665</v>
      </c>
      <c r="AC194" s="40">
        <f t="shared" si="89"/>
        <v>5.6666666666666661</v>
      </c>
      <c r="AD194" s="40">
        <f t="shared" si="90"/>
        <v>729.00215611964643</v>
      </c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</row>
    <row r="195" spans="1:44" x14ac:dyDescent="0.25">
      <c r="A195" s="28">
        <v>184</v>
      </c>
      <c r="B195" s="41">
        <f t="shared" si="133"/>
        <v>152.91132509591046</v>
      </c>
      <c r="C195" s="39">
        <f>indtastning!E211</f>
        <v>1.02</v>
      </c>
      <c r="D195" s="40">
        <f t="shared" si="82"/>
        <v>0.88700000000000001</v>
      </c>
      <c r="E195" s="40">
        <f t="shared" si="134"/>
        <v>0.91699999999999993</v>
      </c>
      <c r="F195" s="40">
        <f t="shared" si="135"/>
        <v>0.98499999999999999</v>
      </c>
      <c r="G195" s="40">
        <f t="shared" si="84"/>
        <v>0.98499999999999999</v>
      </c>
      <c r="H195" s="50">
        <f t="shared" si="103"/>
        <v>4.3768750289222318</v>
      </c>
      <c r="I195" s="39">
        <f>IF(indtastning!J$23&gt;4.9,5,IF(indtastning!J$23&lt;indtastning!G211,indtastning!J$23,indtastning!G211))</f>
        <v>3.4</v>
      </c>
      <c r="J195" s="41">
        <f t="shared" si="136"/>
        <v>3.4</v>
      </c>
      <c r="K195" s="42">
        <f t="shared" si="137"/>
        <v>3.7457338209541464</v>
      </c>
      <c r="L195" s="46">
        <f t="shared" si="105"/>
        <v>0.94342768434178403</v>
      </c>
      <c r="M195" s="40">
        <f t="shared" si="138"/>
        <v>3.5338289848634732</v>
      </c>
      <c r="N195" s="39">
        <f>indtastning!D211</f>
        <v>4</v>
      </c>
      <c r="O195" s="45">
        <f t="shared" si="139"/>
        <v>14.135315939453893</v>
      </c>
      <c r="P195" s="39">
        <f t="shared" si="86"/>
        <v>16.072430497734338</v>
      </c>
      <c r="Q195" s="48">
        <f t="shared" si="87"/>
        <v>14.072430497734338</v>
      </c>
      <c r="R195" s="39">
        <f t="shared" si="104"/>
        <v>21.036573188678741</v>
      </c>
      <c r="S195" s="41">
        <f t="shared" si="88"/>
        <v>16.148182934665691</v>
      </c>
      <c r="T195" s="40">
        <f t="shared" si="140"/>
        <v>4.0370457336664227</v>
      </c>
      <c r="U195" s="40">
        <f t="shared" si="141"/>
        <v>0.84220002058587995</v>
      </c>
      <c r="V195" s="44">
        <f t="shared" si="142"/>
        <v>796.80067986907852</v>
      </c>
      <c r="W195" s="45">
        <f t="shared" si="143"/>
        <v>419.55601279518834</v>
      </c>
      <c r="X195" s="41">
        <f t="shared" si="144"/>
        <v>2.8384984074248476</v>
      </c>
      <c r="Y195" s="45">
        <f t="shared" si="145"/>
        <v>3058.9759396901964</v>
      </c>
      <c r="Z195" s="41">
        <f t="shared" si="146"/>
        <v>16.535005079406467</v>
      </c>
      <c r="AA195" s="41">
        <f t="shared" si="147"/>
        <v>2.2678703394334505</v>
      </c>
      <c r="AB195" s="39">
        <f>indtastning!F211/indtastning!E211</f>
        <v>1.6666666666666665</v>
      </c>
      <c r="AC195" s="40">
        <f t="shared" si="89"/>
        <v>5.6666666666666661</v>
      </c>
      <c r="AD195" s="40">
        <f t="shared" si="90"/>
        <v>734.66882278631306</v>
      </c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</row>
    <row r="196" spans="1:44" x14ac:dyDescent="0.25">
      <c r="A196" s="28">
        <v>185</v>
      </c>
      <c r="B196" s="41">
        <f t="shared" ref="B196:B200" si="148">B195+U195</f>
        <v>153.75352511649635</v>
      </c>
      <c r="C196" s="39">
        <f>indtastning!E212</f>
        <v>1.02</v>
      </c>
      <c r="D196" s="40">
        <f t="shared" si="82"/>
        <v>0.88700000000000001</v>
      </c>
      <c r="E196" s="40">
        <f t="shared" ref="E196:E200" si="149">IF(C196&gt;1.12,1,IF(C196&gt;1.1,1-(1.12-C196)*0.5,IF(C196&gt;1.05,0.99-(1.1-C196)*0.8,IF(C196&gt;1,0.95-(1.05-C196)*1.1,IF(C196&lt;1.01,0.9-(1-C196)*1.4,0.8)))))</f>
        <v>0.91699999999999993</v>
      </c>
      <c r="F196" s="40">
        <f t="shared" ref="F196:F200" si="150">IF(C196&gt;1.12,1,IF(C196&gt;1.07,1,IF(C196&gt;1.02,1-(1.07-C196)*0.3,IF(C196&gt;0.98,0.985-(1.02-C196)*0.8,IF(C196&lt;0.9801,0.97-(1-C196)*1.1,0.8)))))</f>
        <v>0.98499999999999999</v>
      </c>
      <c r="G196" s="40">
        <f t="shared" si="84"/>
        <v>0.98499999999999999</v>
      </c>
      <c r="H196" s="50">
        <f t="shared" si="103"/>
        <v>4.3729210909704319</v>
      </c>
      <c r="I196" s="39">
        <f>IF(indtastning!J$23&gt;4.9,5,IF(indtastning!J$23&lt;indtastning!G212,indtastning!J$23,indtastning!G212))</f>
        <v>3.4</v>
      </c>
      <c r="J196" s="41">
        <f t="shared" ref="J196:J200" si="151">IF(I196&lt;H196,I196,H196)</f>
        <v>3.4</v>
      </c>
      <c r="K196" s="42">
        <f t="shared" ref="K196:K200" si="152">$I$5+$I$4*B196</f>
        <v>3.7589906731300355</v>
      </c>
      <c r="L196" s="46">
        <f t="shared" si="105"/>
        <v>0.94337512698516168</v>
      </c>
      <c r="M196" s="40">
        <f t="shared" ref="M196:M200" si="153">K196*L196</f>
        <v>3.5461383036000855</v>
      </c>
      <c r="N196" s="39">
        <f>indtastning!D212</f>
        <v>4</v>
      </c>
      <c r="O196" s="45">
        <f t="shared" ref="O196:O200" si="154">M196*N196</f>
        <v>14.184553214400342</v>
      </c>
      <c r="P196" s="39">
        <f t="shared" si="86"/>
        <v>16.075805571011252</v>
      </c>
      <c r="Q196" s="48">
        <f t="shared" si="87"/>
        <v>14.075805571011252</v>
      </c>
      <c r="R196" s="39">
        <f t="shared" si="104"/>
        <v>21.03997389132391</v>
      </c>
      <c r="S196" s="41">
        <f t="shared" si="88"/>
        <v>16.182901486697506</v>
      </c>
      <c r="T196" s="40">
        <f t="shared" ref="T196:T200" si="155">S196/N196</f>
        <v>4.0457253716743766</v>
      </c>
      <c r="U196" s="40">
        <f t="shared" ref="U196:U200" si="156">J196/T196</f>
        <v>0.84039317740266317</v>
      </c>
      <c r="V196" s="44">
        <f t="shared" ref="V196:V200" si="157">(B196-$B$11)/(A196-$A$11)*1000</f>
        <v>797.0460817107911</v>
      </c>
      <c r="W196" s="45">
        <f t="shared" ref="W196:W200" si="158">W195+J196</f>
        <v>422.95601279518831</v>
      </c>
      <c r="X196" s="41">
        <f t="shared" ref="X196:X200" si="159">(W195/(B196-$B$11))</f>
        <v>2.8453440666387335</v>
      </c>
      <c r="Y196" s="45">
        <f t="shared" ref="Y196:Y200" si="160">S196+Y195</f>
        <v>3075.1588411768939</v>
      </c>
      <c r="Z196" s="41">
        <f t="shared" ref="Z196:Z200" si="161">Y196/(A197-$A$11)</f>
        <v>16.53311204933814</v>
      </c>
      <c r="AA196" s="41">
        <f t="shared" ref="AA196:AA200" si="162">W196/A197</f>
        <v>2.273957058038647</v>
      </c>
      <c r="AB196" s="39">
        <f>indtastning!F212/indtastning!E212</f>
        <v>1.6666666666666665</v>
      </c>
      <c r="AC196" s="40">
        <f t="shared" si="89"/>
        <v>5.6666666666666661</v>
      </c>
      <c r="AD196" s="40">
        <f t="shared" si="90"/>
        <v>740.33548945297969</v>
      </c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</row>
    <row r="197" spans="1:44" x14ac:dyDescent="0.25">
      <c r="A197" s="28">
        <v>186</v>
      </c>
      <c r="B197" s="41">
        <f t="shared" si="148"/>
        <v>154.59391829389901</v>
      </c>
      <c r="C197" s="39">
        <f>indtastning!E213</f>
        <v>1.02</v>
      </c>
      <c r="D197" s="40">
        <f t="shared" si="82"/>
        <v>0.88700000000000001</v>
      </c>
      <c r="E197" s="40">
        <f t="shared" si="149"/>
        <v>0.91699999999999993</v>
      </c>
      <c r="F197" s="40">
        <f t="shared" si="150"/>
        <v>0.98499999999999999</v>
      </c>
      <c r="G197" s="40">
        <f t="shared" si="84"/>
        <v>0.98499999999999999</v>
      </c>
      <c r="H197" s="50">
        <f t="shared" si="103"/>
        <v>4.3686692133031171</v>
      </c>
      <c r="I197" s="39">
        <f>IF(indtastning!J$23&gt;4.9,5,IF(indtastning!J$23&lt;indtastning!G213,indtastning!J$23,indtastning!G213))</f>
        <v>3.4</v>
      </c>
      <c r="J197" s="41">
        <f t="shared" si="151"/>
        <v>3.4</v>
      </c>
      <c r="K197" s="42">
        <f t="shared" si="152"/>
        <v>3.7722190842558181</v>
      </c>
      <c r="L197" s="46">
        <f t="shared" si="105"/>
        <v>0.9433278012334535</v>
      </c>
      <c r="M197" s="40">
        <f t="shared" si="153"/>
        <v>3.5584391345219122</v>
      </c>
      <c r="N197" s="39">
        <f>indtastning!D213</f>
        <v>4</v>
      </c>
      <c r="O197" s="45">
        <f t="shared" si="154"/>
        <v>14.233756538087649</v>
      </c>
      <c r="P197" s="39">
        <f t="shared" si="86"/>
        <v>16.079166040304347</v>
      </c>
      <c r="Q197" s="48">
        <f t="shared" si="87"/>
        <v>14.079166040304347</v>
      </c>
      <c r="R197" s="39">
        <f t="shared" si="104"/>
        <v>21.04335802685268</v>
      </c>
      <c r="S197" s="41">
        <f t="shared" si="88"/>
        <v>16.217588726480543</v>
      </c>
      <c r="T197" s="40">
        <f t="shared" si="155"/>
        <v>4.0543971816201356</v>
      </c>
      <c r="U197" s="40">
        <f t="shared" si="156"/>
        <v>0.83859568949319396</v>
      </c>
      <c r="V197" s="44">
        <f t="shared" si="157"/>
        <v>797.27913061236018</v>
      </c>
      <c r="W197" s="45">
        <f t="shared" si="158"/>
        <v>426.35601279518829</v>
      </c>
      <c r="X197" s="41">
        <f t="shared" si="159"/>
        <v>2.8521467209258389</v>
      </c>
      <c r="Y197" s="45">
        <f t="shared" si="160"/>
        <v>3091.3764299033746</v>
      </c>
      <c r="Z197" s="41">
        <f t="shared" si="161"/>
        <v>16.531424758841574</v>
      </c>
      <c r="AA197" s="41">
        <f t="shared" si="162"/>
        <v>2.2799786780491353</v>
      </c>
      <c r="AB197" s="39">
        <f>indtastning!F213/indtastning!E213</f>
        <v>1.6666666666666665</v>
      </c>
      <c r="AC197" s="40">
        <f t="shared" si="89"/>
        <v>5.6666666666666661</v>
      </c>
      <c r="AD197" s="40">
        <f t="shared" si="90"/>
        <v>746.00215611964632</v>
      </c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</row>
    <row r="198" spans="1:44" x14ac:dyDescent="0.25">
      <c r="A198" s="28">
        <v>187</v>
      </c>
      <c r="B198" s="41">
        <f t="shared" si="148"/>
        <v>155.4325139833922</v>
      </c>
      <c r="C198" s="39">
        <f>indtastning!E214</f>
        <v>1.02</v>
      </c>
      <c r="D198" s="40">
        <f t="shared" si="82"/>
        <v>0.88700000000000001</v>
      </c>
      <c r="E198" s="40">
        <f t="shared" si="149"/>
        <v>0.91699999999999993</v>
      </c>
      <c r="F198" s="40">
        <f t="shared" si="150"/>
        <v>0.98499999999999999</v>
      </c>
      <c r="G198" s="40">
        <f t="shared" si="84"/>
        <v>0.98499999999999999</v>
      </c>
      <c r="H198" s="50">
        <f t="shared" si="103"/>
        <v>4.3641213177844316</v>
      </c>
      <c r="I198" s="39">
        <f>IF(indtastning!J$23&gt;4.9,5,IF(indtastning!J$23&lt;indtastning!G214,indtastning!J$23,indtastning!G214))</f>
        <v>3.4</v>
      </c>
      <c r="J198" s="41">
        <f t="shared" si="151"/>
        <v>3.4</v>
      </c>
      <c r="K198" s="42">
        <f t="shared" si="152"/>
        <v>3.7854192015904329</v>
      </c>
      <c r="L198" s="46">
        <f t="shared" si="105"/>
        <v>0.94328561897103935</v>
      </c>
      <c r="M198" s="40">
        <f t="shared" si="153"/>
        <v>3.5707314946370889</v>
      </c>
      <c r="N198" s="39">
        <f>indtastning!D214</f>
        <v>4</v>
      </c>
      <c r="O198" s="45">
        <f t="shared" si="154"/>
        <v>14.282925978548356</v>
      </c>
      <c r="P198" s="39">
        <f t="shared" si="86"/>
        <v>16.082512046079952</v>
      </c>
      <c r="Q198" s="48">
        <f t="shared" si="87"/>
        <v>14.082512046079952</v>
      </c>
      <c r="R198" s="39">
        <f t="shared" si="104"/>
        <v>21.046725767694696</v>
      </c>
      <c r="S198" s="41">
        <f t="shared" si="88"/>
        <v>16.252244805022972</v>
      </c>
      <c r="T198" s="40">
        <f t="shared" si="155"/>
        <v>4.063061201255743</v>
      </c>
      <c r="U198" s="40">
        <f t="shared" si="156"/>
        <v>0.83680747879189832</v>
      </c>
      <c r="V198" s="44">
        <f t="shared" si="157"/>
        <v>797.5000747774983</v>
      </c>
      <c r="W198" s="45">
        <f t="shared" si="158"/>
        <v>429.75601279518827</v>
      </c>
      <c r="X198" s="41">
        <f t="shared" si="159"/>
        <v>2.8589071652253413</v>
      </c>
      <c r="Y198" s="45">
        <f t="shared" si="160"/>
        <v>3107.6286747083977</v>
      </c>
      <c r="Z198" s="41">
        <f t="shared" si="161"/>
        <v>16.52993975908722</v>
      </c>
      <c r="AA198" s="41">
        <f t="shared" si="162"/>
        <v>2.2859362382722779</v>
      </c>
      <c r="AB198" s="39">
        <f>indtastning!F214/indtastning!E214</f>
        <v>1.6666666666666665</v>
      </c>
      <c r="AC198" s="40">
        <f t="shared" si="89"/>
        <v>5.6666666666666661</v>
      </c>
      <c r="AD198" s="40">
        <f t="shared" si="90"/>
        <v>751.66882278631294</v>
      </c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</row>
    <row r="199" spans="1:44" x14ac:dyDescent="0.25">
      <c r="A199" s="28">
        <v>188</v>
      </c>
      <c r="B199" s="41">
        <f t="shared" si="148"/>
        <v>156.26932146218411</v>
      </c>
      <c r="C199" s="39">
        <f>indtastning!E215</f>
        <v>1.02</v>
      </c>
      <c r="D199" s="40">
        <f t="shared" si="82"/>
        <v>0.88700000000000001</v>
      </c>
      <c r="E199" s="40">
        <f t="shared" si="149"/>
        <v>0.91699999999999993</v>
      </c>
      <c r="F199" s="40">
        <f t="shared" si="150"/>
        <v>0.98499999999999999</v>
      </c>
      <c r="G199" s="40">
        <f t="shared" si="84"/>
        <v>0.98499999999999999</v>
      </c>
      <c r="H199" s="50">
        <f t="shared" si="103"/>
        <v>4.359279308928274</v>
      </c>
      <c r="I199" s="39">
        <f>IF(indtastning!J$23&gt;4.9,5,IF(indtastning!J$23&lt;indtastning!G215,indtastning!J$23,indtastning!G215))</f>
        <v>3.4</v>
      </c>
      <c r="J199" s="41">
        <f t="shared" si="151"/>
        <v>3.4</v>
      </c>
      <c r="K199" s="42">
        <f t="shared" si="152"/>
        <v>3.7985911711640092</v>
      </c>
      <c r="L199" s="46">
        <f t="shared" si="105"/>
        <v>0.94324849397718058</v>
      </c>
      <c r="M199" s="40">
        <f t="shared" si="153"/>
        <v>3.5830154014354663</v>
      </c>
      <c r="N199" s="39">
        <f>indtastning!D215</f>
        <v>4</v>
      </c>
      <c r="O199" s="45">
        <f t="shared" si="154"/>
        <v>14.332061605741865</v>
      </c>
      <c r="P199" s="39">
        <f t="shared" si="86"/>
        <v>16.085843726635837</v>
      </c>
      <c r="Q199" s="48">
        <f t="shared" si="87"/>
        <v>14.085843726635837</v>
      </c>
      <c r="R199" s="39">
        <f t="shared" si="104"/>
        <v>21.050077283459643</v>
      </c>
      <c r="S199" s="41">
        <f t="shared" si="88"/>
        <v>16.286869872835116</v>
      </c>
      <c r="T199" s="40">
        <f t="shared" si="155"/>
        <v>4.0717174682087789</v>
      </c>
      <c r="U199" s="40">
        <f t="shared" si="156"/>
        <v>0.83502846809646658</v>
      </c>
      <c r="V199" s="44">
        <f t="shared" si="157"/>
        <v>797.70915671374519</v>
      </c>
      <c r="W199" s="45">
        <f t="shared" si="158"/>
        <v>433.15601279518825</v>
      </c>
      <c r="X199" s="41">
        <f t="shared" si="159"/>
        <v>2.8656261734407762</v>
      </c>
      <c r="Y199" s="45">
        <f t="shared" si="160"/>
        <v>3123.915544581233</v>
      </c>
      <c r="Z199" s="41">
        <f t="shared" si="161"/>
        <v>16.528653675032977</v>
      </c>
      <c r="AA199" s="41">
        <f t="shared" si="162"/>
        <v>2.2918307555300967</v>
      </c>
      <c r="AB199" s="39">
        <f>indtastning!F215/indtastning!E215</f>
        <v>1.6666666666666665</v>
      </c>
      <c r="AC199" s="40">
        <f t="shared" si="89"/>
        <v>5.6666666666666661</v>
      </c>
      <c r="AD199" s="40">
        <f t="shared" si="90"/>
        <v>757.33548945297957</v>
      </c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</row>
    <row r="200" spans="1:44" x14ac:dyDescent="0.25">
      <c r="A200" s="37">
        <v>189</v>
      </c>
      <c r="B200" s="39">
        <f t="shared" si="148"/>
        <v>157.10434993028056</v>
      </c>
      <c r="C200" s="39">
        <f>indtastning!E216</f>
        <v>1.02</v>
      </c>
      <c r="D200" s="40">
        <f t="shared" si="82"/>
        <v>0.88700000000000001</v>
      </c>
      <c r="E200" s="42">
        <f t="shared" si="149"/>
        <v>0.91699999999999993</v>
      </c>
      <c r="F200" s="42">
        <f t="shared" si="150"/>
        <v>0.98499999999999999</v>
      </c>
      <c r="G200" s="40">
        <f t="shared" si="84"/>
        <v>0.98499999999999999</v>
      </c>
      <c r="H200" s="50">
        <f t="shared" si="103"/>
        <v>4.3541450741067855</v>
      </c>
      <c r="I200" s="39">
        <f>IF(indtastning!J$23&gt;4.9,5,IF(indtastning!J$23&lt;indtastning!G216,indtastning!J$23,indtastning!G216))</f>
        <v>3.4</v>
      </c>
      <c r="J200" s="39">
        <f t="shared" si="151"/>
        <v>3.4</v>
      </c>
      <c r="K200" s="42">
        <f t="shared" si="152"/>
        <v>3.8117351377914535</v>
      </c>
      <c r="L200" s="46">
        <f t="shared" si="105"/>
        <v>0.94321634187582448</v>
      </c>
      <c r="M200" s="42">
        <f t="shared" si="153"/>
        <v>3.5952908728671966</v>
      </c>
      <c r="N200" s="39">
        <f>indtastning!D216</f>
        <v>4</v>
      </c>
      <c r="O200" s="48">
        <f t="shared" si="154"/>
        <v>14.381163491468786</v>
      </c>
      <c r="P200" s="39">
        <f t="shared" si="86"/>
        <v>16.089161218147883</v>
      </c>
      <c r="Q200" s="48">
        <f t="shared" si="87"/>
        <v>14.089161218147883</v>
      </c>
      <c r="R200" s="39">
        <f t="shared" si="104"/>
        <v>21.053412741000667</v>
      </c>
      <c r="S200" s="41">
        <f t="shared" si="88"/>
        <v>16.321464079912253</v>
      </c>
      <c r="T200" s="42">
        <f t="shared" si="155"/>
        <v>4.0803660199780634</v>
      </c>
      <c r="U200" s="42">
        <f t="shared" si="156"/>
        <v>0.8332585810569707</v>
      </c>
      <c r="V200" s="51">
        <f t="shared" si="157"/>
        <v>797.90661338772782</v>
      </c>
      <c r="W200" s="48">
        <f t="shared" si="158"/>
        <v>436.55601279518822</v>
      </c>
      <c r="X200" s="39">
        <f t="shared" si="159"/>
        <v>2.8723044991437168</v>
      </c>
      <c r="Y200" s="48">
        <f t="shared" si="160"/>
        <v>3140.2370086611454</v>
      </c>
      <c r="Z200" s="39">
        <f t="shared" si="161"/>
        <v>16.527563203479712</v>
      </c>
      <c r="AA200" s="39">
        <f t="shared" si="162"/>
        <v>2.2976632252378328</v>
      </c>
      <c r="AB200" s="39">
        <f>indtastning!F216/indtastning!E216</f>
        <v>1.6666666666666665</v>
      </c>
      <c r="AC200" s="40">
        <f t="shared" si="89"/>
        <v>5.6666666666666661</v>
      </c>
      <c r="AD200" s="40">
        <f t="shared" si="90"/>
        <v>763.0021561196462</v>
      </c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</row>
    <row r="201" spans="1:44" x14ac:dyDescent="0.25">
      <c r="A201" s="28">
        <v>190</v>
      </c>
      <c r="B201" s="41">
        <f t="shared" ref="B201" si="163">B200+U200</f>
        <v>157.93760851133754</v>
      </c>
      <c r="C201" s="39">
        <f>indtastning!E217</f>
        <v>1.02</v>
      </c>
      <c r="D201" s="40">
        <f t="shared" si="82"/>
        <v>0.88700000000000001</v>
      </c>
      <c r="E201" s="40">
        <f t="shared" ref="E201" si="164">IF(C201&gt;1.12,1,IF(C201&gt;1.1,1-(1.12-C201)*0.5,IF(C201&gt;1.05,0.99-(1.1-C201)*0.8,IF(C201&gt;1,0.95-(1.05-C201)*1.1,IF(C201&lt;1.01,0.9-(1-C201)*1.4,0.8)))))</f>
        <v>0.91699999999999993</v>
      </c>
      <c r="F201" s="40">
        <f t="shared" ref="F201" si="165">IF(C201&gt;1.12,1,IF(C201&gt;1.07,1,IF(C201&gt;1.02,1-(1.07-C201)*0.3,IF(C201&gt;0.98,0.985-(1.02-C201)*0.8,IF(C201&lt;0.9801,0.97-(1-C201)*1.1,0.8)))))</f>
        <v>0.98499999999999999</v>
      </c>
      <c r="G201" s="40">
        <f t="shared" si="84"/>
        <v>0.98499999999999999</v>
      </c>
      <c r="H201" s="50">
        <f t="shared" si="103"/>
        <v>4.3487204837557636</v>
      </c>
      <c r="I201" s="39">
        <f>IF(indtastning!J$23&gt;4.9,5,IF(indtastning!J$23&lt;indtastning!G217,indtastning!J$23,indtastning!G217))</f>
        <v>3.4</v>
      </c>
      <c r="J201" s="41">
        <f t="shared" ref="J201" si="166">IF(I201&lt;H201,I201,H201)</f>
        <v>3.4</v>
      </c>
      <c r="K201" s="42">
        <f t="shared" ref="K201" si="167">$I$5+$I$4*B201</f>
        <v>3.8248512450858692</v>
      </c>
      <c r="L201" s="46">
        <f t="shared" si="105"/>
        <v>0.94318908008699287</v>
      </c>
      <c r="M201" s="40">
        <f t="shared" ref="M201" si="168">K201*L201</f>
        <v>3.6075579273221301</v>
      </c>
      <c r="N201" s="39">
        <f>indtastning!D217</f>
        <v>4</v>
      </c>
      <c r="O201" s="45">
        <f t="shared" ref="O201" si="169">M201*N201</f>
        <v>14.43023170928852</v>
      </c>
      <c r="P201" s="39">
        <f t="shared" si="86"/>
        <v>16.092464654715435</v>
      </c>
      <c r="Q201" s="48">
        <f t="shared" si="87"/>
        <v>14.092464654715435</v>
      </c>
      <c r="R201" s="39">
        <f t="shared" si="104"/>
        <v>21.056732304475929</v>
      </c>
      <c r="S201" s="41">
        <f t="shared" si="88"/>
        <v>16.356027575718493</v>
      </c>
      <c r="T201" s="40">
        <f t="shared" ref="T201" si="170">S201/N201</f>
        <v>4.0890068939296231</v>
      </c>
      <c r="U201" s="40">
        <f t="shared" ref="U201" si="171">J201/T201</f>
        <v>0.83149774216509753</v>
      </c>
      <c r="V201" s="44">
        <f t="shared" ref="V201" si="172">(B201-$B$11)/(A201-$A$11)*1000</f>
        <v>798.09267637546066</v>
      </c>
      <c r="W201" s="45">
        <f t="shared" ref="W201" si="173">W200+J201</f>
        <v>439.9560127951882</v>
      </c>
      <c r="X201" s="41">
        <f t="shared" ref="X201" si="174">(W200/(B201-$B$11))</f>
        <v>2.8789428762492526</v>
      </c>
      <c r="Y201" s="45">
        <f t="shared" ref="Y201" si="175">S201+Y200</f>
        <v>3156.593036236864</v>
      </c>
      <c r="Z201" s="41">
        <f t="shared" ref="Z201" si="176">Y201/(A202-$A$11)</f>
        <v>16.526665111187771</v>
      </c>
      <c r="AA201" s="41">
        <f t="shared" ref="AA201" si="177">W201/A202</f>
        <v>2.3034346219643362</v>
      </c>
      <c r="AB201" s="39">
        <f>indtastning!F217/indtastning!E217</f>
        <v>1.6666666666666665</v>
      </c>
      <c r="AC201" s="40">
        <f t="shared" si="89"/>
        <v>5.6666666666666661</v>
      </c>
      <c r="AD201" s="40">
        <f t="shared" si="90"/>
        <v>768.66882278631283</v>
      </c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</row>
    <row r="202" spans="1:44" x14ac:dyDescent="0.25">
      <c r="A202" s="28">
        <v>191</v>
      </c>
      <c r="B202" s="41">
        <f t="shared" ref="B202:B208" si="178">B201+U201</f>
        <v>158.76910625350263</v>
      </c>
      <c r="C202" s="39">
        <f>indtastning!E218</f>
        <v>1.02</v>
      </c>
      <c r="D202" s="40">
        <f t="shared" si="82"/>
        <v>0.88700000000000001</v>
      </c>
      <c r="E202" s="40">
        <f t="shared" ref="E202:E208" si="179">IF(C202&gt;1.12,1,IF(C202&gt;1.1,1-(1.12-C202)*0.5,IF(C202&gt;1.05,0.99-(1.1-C202)*0.8,IF(C202&gt;1,0.95-(1.05-C202)*1.1,IF(C202&lt;1.01,0.9-(1-C202)*1.4,0.8)))))</f>
        <v>0.91699999999999993</v>
      </c>
      <c r="F202" s="40">
        <f t="shared" ref="F202:F208" si="180">IF(C202&gt;1.12,1,IF(C202&gt;1.07,1,IF(C202&gt;1.02,1-(1.07-C202)*0.3,IF(C202&gt;0.98,0.985-(1.02-C202)*0.8,IF(C202&lt;0.9801,0.97-(1-C202)*1.1,0.8)))))</f>
        <v>0.98499999999999999</v>
      </c>
      <c r="G202" s="40">
        <f t="shared" si="84"/>
        <v>0.98499999999999999</v>
      </c>
      <c r="H202" s="50">
        <f t="shared" si="103"/>
        <v>4.3430073915770437</v>
      </c>
      <c r="I202" s="39">
        <f>IF(indtastning!J$23&gt;4.9,5,IF(indtastning!J$23&lt;indtastning!G218,indtastning!J$23,indtastning!G218))</f>
        <v>3.4</v>
      </c>
      <c r="J202" s="41">
        <f t="shared" ref="J202:J208" si="181">IF(I202&lt;H202,I202,H202)</f>
        <v>3.4</v>
      </c>
      <c r="K202" s="42">
        <f t="shared" ref="K202:K208" si="182">$I$5+$I$4*B202</f>
        <v>3.8379396354718009</v>
      </c>
      <c r="L202" s="46">
        <f t="shared" si="105"/>
        <v>0.94316662777969429</v>
      </c>
      <c r="M202" s="40">
        <f t="shared" ref="M202:M208" si="183">K202*L202</f>
        <v>3.6198165836099676</v>
      </c>
      <c r="N202" s="39">
        <f>indtastning!D218</f>
        <v>4</v>
      </c>
      <c r="O202" s="45">
        <f t="shared" ref="O202:O208" si="184">M202*N202</f>
        <v>14.47926633443987</v>
      </c>
      <c r="P202" s="39">
        <f t="shared" si="86"/>
        <v>16.095754168405435</v>
      </c>
      <c r="Q202" s="48">
        <f t="shared" si="87"/>
        <v>14.095754168405435</v>
      </c>
      <c r="R202" s="39">
        <f t="shared" si="104"/>
        <v>21.060036135408438</v>
      </c>
      <c r="S202" s="41">
        <f t="shared" si="88"/>
        <v>16.390560509171532</v>
      </c>
      <c r="T202" s="40">
        <f t="shared" ref="T202:T208" si="185">S202/N202</f>
        <v>4.0976401272928831</v>
      </c>
      <c r="U202" s="40">
        <f t="shared" ref="U202:U208" si="186">J202/T202</f>
        <v>0.82974587674350486</v>
      </c>
      <c r="V202" s="44">
        <f t="shared" ref="V202:V208" si="187">(B202-$B$11)/(A202-$A$11)*1000</f>
        <v>798.2675720078671</v>
      </c>
      <c r="W202" s="45">
        <f t="shared" ref="W202:W208" si="188">W201+J202</f>
        <v>443.35601279518818</v>
      </c>
      <c r="X202" s="41">
        <f t="shared" ref="X202:X208" si="189">(W201/(B202-$B$11))</f>
        <v>2.8855420196645984</v>
      </c>
      <c r="Y202" s="45">
        <f t="shared" ref="Y202:Y208" si="190">S202+Y201</f>
        <v>3172.9835967460353</v>
      </c>
      <c r="Z202" s="41">
        <f t="shared" ref="Z202:Z208" si="191">Y202/(A203-$A$11)</f>
        <v>16.525956233052266</v>
      </c>
      <c r="AA202" s="41">
        <f t="shared" ref="AA202:AA208" si="192">W202/A203</f>
        <v>2.3091458999749386</v>
      </c>
      <c r="AB202" s="39">
        <f>indtastning!F218/indtastning!E218</f>
        <v>1.6666666666666665</v>
      </c>
      <c r="AC202" s="40">
        <f t="shared" si="89"/>
        <v>5.6666666666666661</v>
      </c>
      <c r="AD202" s="40">
        <f t="shared" si="90"/>
        <v>774.33548945297946</v>
      </c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</row>
    <row r="203" spans="1:44" x14ac:dyDescent="0.25">
      <c r="A203" s="28">
        <v>192</v>
      </c>
      <c r="B203" s="41">
        <f t="shared" si="178"/>
        <v>159.59885213024614</v>
      </c>
      <c r="C203" s="39">
        <f>indtastning!E219</f>
        <v>1.02</v>
      </c>
      <c r="D203" s="40">
        <f t="shared" si="82"/>
        <v>0.88700000000000001</v>
      </c>
      <c r="E203" s="40">
        <f t="shared" si="179"/>
        <v>0.91699999999999993</v>
      </c>
      <c r="F203" s="40">
        <f t="shared" si="180"/>
        <v>0.98499999999999999</v>
      </c>
      <c r="G203" s="40">
        <f t="shared" si="84"/>
        <v>0.98499999999999999</v>
      </c>
      <c r="H203" s="50">
        <f t="shared" si="103"/>
        <v>4.3370076347379234</v>
      </c>
      <c r="I203" s="39">
        <f>IF(indtastning!J$23&gt;4.9,5,IF(indtastning!J$23&lt;indtastning!G219,indtastning!J$23,indtastning!G219))</f>
        <v>3.4</v>
      </c>
      <c r="J203" s="41">
        <f t="shared" si="181"/>
        <v>3.4</v>
      </c>
      <c r="K203" s="42">
        <f t="shared" si="182"/>
        <v>3.851000450198319</v>
      </c>
      <c r="L203" s="46">
        <f t="shared" si="105"/>
        <v>0.94314890582630673</v>
      </c>
      <c r="M203" s="40">
        <f t="shared" si="183"/>
        <v>3.6320668609411593</v>
      </c>
      <c r="N203" s="39">
        <f>indtastning!D219</f>
        <v>4</v>
      </c>
      <c r="O203" s="45">
        <f t="shared" si="184"/>
        <v>14.528267443764637</v>
      </c>
      <c r="P203" s="39">
        <f t="shared" si="86"/>
        <v>16.099029889295313</v>
      </c>
      <c r="Q203" s="48">
        <f t="shared" si="87"/>
        <v>14.099029889295313</v>
      </c>
      <c r="R203" s="39">
        <f t="shared" si="104"/>
        <v>21.063324392744185</v>
      </c>
      <c r="S203" s="41">
        <f t="shared" si="88"/>
        <v>16.425063028628401</v>
      </c>
      <c r="T203" s="40">
        <f t="shared" si="185"/>
        <v>4.1062657571571002</v>
      </c>
      <c r="U203" s="40">
        <f t="shared" si="186"/>
        <v>0.82800291093529443</v>
      </c>
      <c r="V203" s="44">
        <f t="shared" si="187"/>
        <v>798.43152151169863</v>
      </c>
      <c r="W203" s="45">
        <f t="shared" si="188"/>
        <v>446.75601279518816</v>
      </c>
      <c r="X203" s="41">
        <f t="shared" si="189"/>
        <v>2.8921026259120519</v>
      </c>
      <c r="Y203" s="45">
        <f t="shared" si="190"/>
        <v>3189.4086597746636</v>
      </c>
      <c r="Z203" s="41">
        <f t="shared" si="191"/>
        <v>16.525433470335045</v>
      </c>
      <c r="AA203" s="41">
        <f t="shared" si="192"/>
        <v>2.3147979937574514</v>
      </c>
      <c r="AB203" s="39">
        <f>indtastning!F219/indtastning!E219</f>
        <v>1.6666666666666665</v>
      </c>
      <c r="AC203" s="40">
        <f t="shared" si="89"/>
        <v>5.6666666666666661</v>
      </c>
      <c r="AD203" s="40">
        <f t="shared" si="90"/>
        <v>780.00215611964609</v>
      </c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</row>
    <row r="204" spans="1:44" x14ac:dyDescent="0.25">
      <c r="A204" s="28">
        <v>193</v>
      </c>
      <c r="B204" s="41">
        <f t="shared" si="178"/>
        <v>160.42685504118143</v>
      </c>
      <c r="C204" s="39">
        <f>indtastning!E220</f>
        <v>1.02</v>
      </c>
      <c r="D204" s="40">
        <f t="shared" ref="D204:D222" si="193">IF(C204&gt;1.16,1,IF(C204&gt;1.1,1-(1.16-C204)*0.5,IF(C204&gt;1.05,0.967-(1.1-C204)*0.9,IF(C204&gt;1,0.92-(1.05-C204)*1.1,IF(C204&lt;1.01,0.86-(1-C204)*1.5,0.8)))))</f>
        <v>0.88700000000000001</v>
      </c>
      <c r="E204" s="40">
        <f t="shared" si="179"/>
        <v>0.91699999999999993</v>
      </c>
      <c r="F204" s="40">
        <f t="shared" si="180"/>
        <v>0.98499999999999999</v>
      </c>
      <c r="G204" s="40">
        <f t="shared" ref="G204:G222" si="194">IF(B204&lt;10.01,D204, IF(B204&lt;20.01,D204+(B204-10)/10*(E204-D204),IF(B204&lt;50.01,E204,IF(B204&lt;100.01,F204+(100-B204)/50*(E204-F204),F204))))</f>
        <v>0.98499999999999999</v>
      </c>
      <c r="H204" s="50">
        <f t="shared" si="103"/>
        <v>4.3307230340676472</v>
      </c>
      <c r="I204" s="39">
        <f>IF(indtastning!J$23&gt;4.9,5,IF(indtastning!J$23&lt;indtastning!G220,indtastning!J$23,indtastning!G220))</f>
        <v>3.4</v>
      </c>
      <c r="J204" s="41">
        <f t="shared" si="181"/>
        <v>3.4</v>
      </c>
      <c r="K204" s="42">
        <f t="shared" si="182"/>
        <v>3.8640338293519303</v>
      </c>
      <c r="L204" s="46">
        <f t="shared" si="105"/>
        <v>0.9431358367583762</v>
      </c>
      <c r="M204" s="40">
        <f t="shared" si="183"/>
        <v>3.6443087789085054</v>
      </c>
      <c r="N204" s="39">
        <f>indtastning!D220</f>
        <v>4</v>
      </c>
      <c r="O204" s="45">
        <f t="shared" si="184"/>
        <v>14.577235115634021</v>
      </c>
      <c r="P204" s="39">
        <f t="shared" ref="P204:P222" si="195">15.05+0.05*POWER(B204,0.6)</f>
        <v>16.102291945514743</v>
      </c>
      <c r="Q204" s="48">
        <f t="shared" ref="Q204:Q222" si="196">P204-2</f>
        <v>14.102291945514743</v>
      </c>
      <c r="R204" s="39">
        <f t="shared" si="104"/>
        <v>21.066597232908638</v>
      </c>
      <c r="S204" s="41">
        <f t="shared" ref="S204:S222" si="197">IF(O204&lt;Q204,P204,IF(O204&lt;R204,P204+(O204-13.2)*0.705-(B204-7)*0.004,O204))</f>
        <v>16.459535281872004</v>
      </c>
      <c r="T204" s="40">
        <f t="shared" si="185"/>
        <v>4.1148838204680009</v>
      </c>
      <c r="U204" s="40">
        <f t="shared" si="186"/>
        <v>0.82626877169360891</v>
      </c>
      <c r="V204" s="44">
        <f t="shared" si="187"/>
        <v>798.58474114601779</v>
      </c>
      <c r="W204" s="45">
        <f t="shared" si="188"/>
        <v>450.15601279518813</v>
      </c>
      <c r="X204" s="41">
        <f t="shared" si="189"/>
        <v>2.8986253737274965</v>
      </c>
      <c r="Y204" s="45">
        <f t="shared" si="190"/>
        <v>3205.8681950565356</v>
      </c>
      <c r="Z204" s="41">
        <f t="shared" si="191"/>
        <v>16.525093788951214</v>
      </c>
      <c r="AA204" s="41">
        <f t="shared" si="192"/>
        <v>2.3203918185318977</v>
      </c>
      <c r="AB204" s="39">
        <f>indtastning!F220/indtastning!E220</f>
        <v>1.6666666666666665</v>
      </c>
      <c r="AC204" s="40">
        <f t="shared" si="89"/>
        <v>5.6666666666666661</v>
      </c>
      <c r="AD204" s="40">
        <f t="shared" si="90"/>
        <v>785.66882278631272</v>
      </c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</row>
    <row r="205" spans="1:44" x14ac:dyDescent="0.25">
      <c r="A205" s="28">
        <v>194</v>
      </c>
      <c r="B205" s="41">
        <f t="shared" si="178"/>
        <v>161.25312381287503</v>
      </c>
      <c r="C205" s="39">
        <f>indtastning!E221</f>
        <v>1.02</v>
      </c>
      <c r="D205" s="40">
        <f t="shared" si="193"/>
        <v>0.88700000000000001</v>
      </c>
      <c r="E205" s="40">
        <f t="shared" si="179"/>
        <v>0.91699999999999993</v>
      </c>
      <c r="F205" s="40">
        <f t="shared" si="180"/>
        <v>0.98499999999999999</v>
      </c>
      <c r="G205" s="40">
        <f t="shared" si="194"/>
        <v>0.98499999999999999</v>
      </c>
      <c r="H205" s="50">
        <f t="shared" si="103"/>
        <v>4.3241553942510205</v>
      </c>
      <c r="I205" s="39">
        <f>IF(indtastning!J$23&gt;4.9,5,IF(indtastning!J$23&lt;indtastning!G221,indtastning!J$23,indtastning!G221))</f>
        <v>3.4</v>
      </c>
      <c r="J205" s="41">
        <f t="shared" si="181"/>
        <v>3.4</v>
      </c>
      <c r="K205" s="42">
        <f t="shared" si="182"/>
        <v>3.8770399118693293</v>
      </c>
      <c r="L205" s="46">
        <f t="shared" si="105"/>
        <v>0.94312734472378035</v>
      </c>
      <c r="M205" s="40">
        <f t="shared" si="183"/>
        <v>3.6565423574694398</v>
      </c>
      <c r="N205" s="39">
        <f>indtastning!D221</f>
        <v>4</v>
      </c>
      <c r="O205" s="45">
        <f t="shared" si="184"/>
        <v>14.626169429877759</v>
      </c>
      <c r="P205" s="39">
        <f t="shared" si="195"/>
        <v>16.105540463286253</v>
      </c>
      <c r="Q205" s="48">
        <f t="shared" si="196"/>
        <v>14.105540463286253</v>
      </c>
      <c r="R205" s="39">
        <f t="shared" si="104"/>
        <v>21.069854809861646</v>
      </c>
      <c r="S205" s="41">
        <f t="shared" si="197"/>
        <v>16.493977416098573</v>
      </c>
      <c r="T205" s="40">
        <f t="shared" si="185"/>
        <v>4.1234943540246434</v>
      </c>
      <c r="U205" s="40">
        <f t="shared" si="186"/>
        <v>0.8245433867713452</v>
      </c>
      <c r="V205" s="44">
        <f t="shared" si="187"/>
        <v>798.72744233440733</v>
      </c>
      <c r="W205" s="45">
        <f t="shared" si="188"/>
        <v>453.55601279518811</v>
      </c>
      <c r="X205" s="41">
        <f t="shared" si="189"/>
        <v>2.9051109246355495</v>
      </c>
      <c r="Y205" s="45">
        <f t="shared" si="190"/>
        <v>3222.362172472634</v>
      </c>
      <c r="Z205" s="41">
        <f t="shared" si="191"/>
        <v>16.524934217808379</v>
      </c>
      <c r="AA205" s="41">
        <f t="shared" si="192"/>
        <v>2.3259282707445545</v>
      </c>
      <c r="AB205" s="39">
        <f>indtastning!F221/indtastning!E221</f>
        <v>1.6666666666666665</v>
      </c>
      <c r="AC205" s="40">
        <f t="shared" ref="AC205:AC247" si="198">J204*AB204</f>
        <v>5.6666666666666661</v>
      </c>
      <c r="AD205" s="40">
        <f t="shared" si="90"/>
        <v>791.33548945297935</v>
      </c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</row>
    <row r="206" spans="1:44" x14ac:dyDescent="0.25">
      <c r="A206" s="28">
        <v>195</v>
      </c>
      <c r="B206" s="41">
        <f t="shared" si="178"/>
        <v>162.07766719964638</v>
      </c>
      <c r="C206" s="39">
        <f>indtastning!E222</f>
        <v>1.02</v>
      </c>
      <c r="D206" s="40">
        <f t="shared" si="193"/>
        <v>0.88700000000000001</v>
      </c>
      <c r="E206" s="40">
        <f t="shared" si="179"/>
        <v>0.91699999999999993</v>
      </c>
      <c r="F206" s="40">
        <f t="shared" si="180"/>
        <v>0.98499999999999999</v>
      </c>
      <c r="G206" s="40">
        <f t="shared" si="194"/>
        <v>0.98499999999999999</v>
      </c>
      <c r="H206" s="50">
        <f t="shared" si="103"/>
        <v>4.3173065040192116</v>
      </c>
      <c r="I206" s="39">
        <f>IF(indtastning!J$23&gt;4.9,5,IF(indtastning!J$23&lt;indtastning!G222,indtastning!J$23,indtastning!G222))</f>
        <v>3.4</v>
      </c>
      <c r="J206" s="41">
        <f t="shared" si="181"/>
        <v>3.4</v>
      </c>
      <c r="K206" s="42">
        <f t="shared" si="182"/>
        <v>3.8900188355499896</v>
      </c>
      <c r="L206" s="46">
        <f t="shared" si="105"/>
        <v>0.94312335544520953</v>
      </c>
      <c r="M206" s="40">
        <f t="shared" si="183"/>
        <v>3.6687676169289731</v>
      </c>
      <c r="N206" s="39">
        <f>indtastning!D222</f>
        <v>4</v>
      </c>
      <c r="O206" s="45">
        <f t="shared" si="184"/>
        <v>14.675070467715893</v>
      </c>
      <c r="P206" s="39">
        <f t="shared" si="195"/>
        <v>16.108775566964745</v>
      </c>
      <c r="Q206" s="48">
        <f t="shared" si="196"/>
        <v>14.108775566964745</v>
      </c>
      <c r="R206" s="39">
        <f t="shared" si="104"/>
        <v>21.073097275150829</v>
      </c>
      <c r="S206" s="41">
        <f t="shared" si="197"/>
        <v>16.528389577905866</v>
      </c>
      <c r="T206" s="40">
        <f t="shared" si="185"/>
        <v>4.1320973944764665</v>
      </c>
      <c r="U206" s="40">
        <f t="shared" si="186"/>
        <v>0.82282668471099218</v>
      </c>
      <c r="V206" s="44">
        <f t="shared" si="187"/>
        <v>798.85983179305833</v>
      </c>
      <c r="W206" s="45">
        <f t="shared" si="188"/>
        <v>456.95601279518809</v>
      </c>
      <c r="X206" s="41">
        <f t="shared" si="189"/>
        <v>2.9115599235024217</v>
      </c>
      <c r="Y206" s="45">
        <f t="shared" si="190"/>
        <v>3238.8905620505398</v>
      </c>
      <c r="Z206" s="41">
        <f t="shared" si="191"/>
        <v>16.524951847196633</v>
      </c>
      <c r="AA206" s="41">
        <f t="shared" si="192"/>
        <v>2.331408228546878</v>
      </c>
      <c r="AB206" s="39">
        <f>indtastning!F222/indtastning!E222</f>
        <v>1.6666666666666665</v>
      </c>
      <c r="AC206" s="40">
        <f t="shared" si="198"/>
        <v>5.6666666666666661</v>
      </c>
      <c r="AD206" s="40">
        <f t="shared" ref="AD206:AD222" si="199">AD205+AC206</f>
        <v>797.00215611964597</v>
      </c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</row>
    <row r="207" spans="1:44" x14ac:dyDescent="0.25">
      <c r="A207" s="37">
        <v>196</v>
      </c>
      <c r="B207" s="39">
        <f t="shared" si="178"/>
        <v>162.90049388435739</v>
      </c>
      <c r="C207" s="39">
        <f>indtastning!E223</f>
        <v>1.02</v>
      </c>
      <c r="D207" s="40">
        <f t="shared" si="193"/>
        <v>0.88700000000000001</v>
      </c>
      <c r="E207" s="42">
        <f t="shared" si="179"/>
        <v>0.91699999999999993</v>
      </c>
      <c r="F207" s="42">
        <f t="shared" si="180"/>
        <v>0.98499999999999999</v>
      </c>
      <c r="G207" s="40">
        <f t="shared" si="194"/>
        <v>0.98499999999999999</v>
      </c>
      <c r="H207" s="50">
        <f t="shared" si="103"/>
        <v>4.3101781363377407</v>
      </c>
      <c r="I207" s="39">
        <f>IF(indtastning!J$23&gt;4.9,5,IF(indtastning!J$23&lt;indtastning!G223,indtastning!J$23,indtastning!G223))</f>
        <v>3.4</v>
      </c>
      <c r="J207" s="39">
        <f t="shared" si="181"/>
        <v>3.4</v>
      </c>
      <c r="K207" s="42">
        <f t="shared" si="182"/>
        <v>3.9029707370685887</v>
      </c>
      <c r="L207" s="46">
        <f t="shared" si="105"/>
        <v>0.94312379617991582</v>
      </c>
      <c r="M207" s="42">
        <f t="shared" si="183"/>
        <v>3.6809845779232515</v>
      </c>
      <c r="N207" s="39">
        <f>indtastning!D223</f>
        <v>4</v>
      </c>
      <c r="O207" s="48">
        <f t="shared" si="184"/>
        <v>14.723938311693006</v>
      </c>
      <c r="P207" s="39">
        <f t="shared" si="195"/>
        <v>16.111997379075959</v>
      </c>
      <c r="Q207" s="48">
        <f t="shared" si="196"/>
        <v>14.111997379075959</v>
      </c>
      <c r="R207" s="39">
        <f t="shared" si="104"/>
        <v>21.076324777963499</v>
      </c>
      <c r="S207" s="41">
        <f t="shared" si="197"/>
        <v>16.562771913282099</v>
      </c>
      <c r="T207" s="42">
        <f t="shared" si="185"/>
        <v>4.1406929783205246</v>
      </c>
      <c r="U207" s="42">
        <f t="shared" si="186"/>
        <v>0.82111859483458938</v>
      </c>
      <c r="V207" s="51">
        <f t="shared" si="187"/>
        <v>798.98211165488453</v>
      </c>
      <c r="W207" s="48">
        <f t="shared" si="188"/>
        <v>460.35601279518806</v>
      </c>
      <c r="X207" s="39">
        <f t="shared" si="189"/>
        <v>2.9179729990674881</v>
      </c>
      <c r="Y207" s="48">
        <f t="shared" si="190"/>
        <v>3255.4533339638219</v>
      </c>
      <c r="Z207" s="39">
        <f t="shared" si="191"/>
        <v>16.525143827227524</v>
      </c>
      <c r="AA207" s="39">
        <f t="shared" si="192"/>
        <v>2.3368325522598381</v>
      </c>
      <c r="AB207" s="39">
        <f>indtastning!F223/indtastning!E223</f>
        <v>1.6666666666666665</v>
      </c>
      <c r="AC207" s="40">
        <f t="shared" si="198"/>
        <v>5.6666666666666661</v>
      </c>
      <c r="AD207" s="40">
        <f t="shared" si="199"/>
        <v>802.6688227863126</v>
      </c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</row>
    <row r="208" spans="1:44" x14ac:dyDescent="0.25">
      <c r="A208" s="28">
        <v>197</v>
      </c>
      <c r="B208" s="41">
        <f t="shared" si="178"/>
        <v>163.72161247919198</v>
      </c>
      <c r="C208" s="39">
        <f>indtastning!E224</f>
        <v>1.02</v>
      </c>
      <c r="D208" s="40">
        <f t="shared" si="193"/>
        <v>0.88700000000000001</v>
      </c>
      <c r="E208" s="40">
        <f t="shared" si="179"/>
        <v>0.91699999999999993</v>
      </c>
      <c r="F208" s="40">
        <f t="shared" si="180"/>
        <v>0.98499999999999999</v>
      </c>
      <c r="G208" s="40">
        <f t="shared" si="194"/>
        <v>0.98499999999999999</v>
      </c>
      <c r="H208" s="50">
        <f t="shared" si="103"/>
        <v>4.3027720485917769</v>
      </c>
      <c r="I208" s="39">
        <f>IF(indtastning!J$23&gt;4.9,5,IF(indtastning!J$23&lt;indtastning!G224,indtastning!J$23,indtastning!G224))</f>
        <v>3.4</v>
      </c>
      <c r="J208" s="41">
        <f t="shared" si="181"/>
        <v>3.4</v>
      </c>
      <c r="K208" s="42">
        <f t="shared" si="182"/>
        <v>3.9158957519872812</v>
      </c>
      <c r="L208" s="46">
        <f t="shared" si="105"/>
        <v>0.94312859568068819</v>
      </c>
      <c r="M208" s="40">
        <f t="shared" si="183"/>
        <v>3.6931932614037368</v>
      </c>
      <c r="N208" s="39">
        <f>indtastning!D224</f>
        <v>4</v>
      </c>
      <c r="O208" s="45">
        <f t="shared" si="184"/>
        <v>14.772773045614947</v>
      </c>
      <c r="P208" s="39">
        <f t="shared" si="195"/>
        <v>16.115206020353927</v>
      </c>
      <c r="Q208" s="48">
        <f t="shared" si="196"/>
        <v>14.115206020353927</v>
      </c>
      <c r="R208" s="39">
        <f t="shared" si="104"/>
        <v>21.079537465177133</v>
      </c>
      <c r="S208" s="41">
        <f t="shared" si="197"/>
        <v>16.597124567595699</v>
      </c>
      <c r="T208" s="40">
        <f t="shared" si="185"/>
        <v>4.1492811418989248</v>
      </c>
      <c r="U208" s="40">
        <f t="shared" si="186"/>
        <v>0.81941904723380221</v>
      </c>
      <c r="V208" s="44">
        <f t="shared" si="187"/>
        <v>799.09447958980695</v>
      </c>
      <c r="W208" s="45">
        <f t="shared" si="188"/>
        <v>463.75601279518804</v>
      </c>
      <c r="X208" s="41">
        <f t="shared" si="189"/>
        <v>2.9243507644545188</v>
      </c>
      <c r="Y208" s="45">
        <f t="shared" si="190"/>
        <v>3272.0504585314175</v>
      </c>
      <c r="Z208" s="41">
        <f t="shared" si="191"/>
        <v>16.525507366320291</v>
      </c>
      <c r="AA208" s="41">
        <f t="shared" si="192"/>
        <v>2.3422020848241822</v>
      </c>
      <c r="AB208" s="39">
        <f>indtastning!F224/indtastning!E224</f>
        <v>1.6666666666666665</v>
      </c>
      <c r="AC208" s="40">
        <f t="shared" si="198"/>
        <v>5.6666666666666661</v>
      </c>
      <c r="AD208" s="40">
        <f t="shared" si="199"/>
        <v>808.33548945297923</v>
      </c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</row>
    <row r="209" spans="1:44" x14ac:dyDescent="0.25">
      <c r="A209" s="28">
        <v>198</v>
      </c>
      <c r="B209" s="41">
        <f t="shared" ref="B209:B221" si="200">B208+U208</f>
        <v>164.54103152642577</v>
      </c>
      <c r="C209" s="39">
        <f>indtastning!E225</f>
        <v>1.02</v>
      </c>
      <c r="D209" s="40">
        <f t="shared" si="193"/>
        <v>0.88700000000000001</v>
      </c>
      <c r="E209" s="40">
        <f t="shared" ref="E209:E221" si="201">IF(C209&gt;1.12,1,IF(C209&gt;1.1,1-(1.12-C209)*0.5,IF(C209&gt;1.05,0.99-(1.1-C209)*0.8,IF(C209&gt;1,0.95-(1.05-C209)*1.1,IF(C209&lt;1.01,0.9-(1-C209)*1.4,0.8)))))</f>
        <v>0.91699999999999993</v>
      </c>
      <c r="F209" s="40">
        <f t="shared" ref="F209:F221" si="202">IF(C209&gt;1.12,1,IF(C209&gt;1.07,1,IF(C209&gt;1.02,1-(1.07-C209)*0.3,IF(C209&gt;0.98,0.985-(1.02-C209)*0.8,IF(C209&lt;0.9801,0.97-(1-C209)*1.1,0.8)))))</f>
        <v>0.98499999999999999</v>
      </c>
      <c r="G209" s="40">
        <f t="shared" si="194"/>
        <v>0.98499999999999999</v>
      </c>
      <c r="H209" s="50">
        <f t="shared" si="103"/>
        <v>4.2950899827687161</v>
      </c>
      <c r="I209" s="39">
        <f>IF(indtastning!J$23&gt;4.9,5,IF(indtastning!J$23&lt;indtastning!G225,indtastning!J$23,indtastning!G225))</f>
        <v>3.4</v>
      </c>
      <c r="J209" s="41">
        <f t="shared" ref="J209:J221" si="203">IF(I209&lt;H209,I209,H209)</f>
        <v>3.4</v>
      </c>
      <c r="K209" s="42">
        <f t="shared" ref="K209:K221" si="204">$I$5+$I$4*B209</f>
        <v>3.9287940147678131</v>
      </c>
      <c r="L209" s="46">
        <f t="shared" si="105"/>
        <v>0.94313768415800736</v>
      </c>
      <c r="M209" s="40">
        <f t="shared" ref="M209:M221" si="205">K209*L209</f>
        <v>3.7053936886219554</v>
      </c>
      <c r="N209" s="39">
        <f>indtastning!D225</f>
        <v>4</v>
      </c>
      <c r="O209" s="45">
        <f t="shared" ref="O209:O221" si="206">M209*N209</f>
        <v>14.821574754487822</v>
      </c>
      <c r="P209" s="39">
        <f t="shared" si="195"/>
        <v>16.118401609777429</v>
      </c>
      <c r="Q209" s="48">
        <f t="shared" si="196"/>
        <v>14.118401609777429</v>
      </c>
      <c r="R209" s="39">
        <f t="shared" si="104"/>
        <v>21.082735481408484</v>
      </c>
      <c r="S209" s="41">
        <f t="shared" si="197"/>
        <v>16.631447685585641</v>
      </c>
      <c r="T209" s="40">
        <f t="shared" ref="T209:T221" si="207">S209/N209</f>
        <v>4.1578619213964103</v>
      </c>
      <c r="U209" s="40">
        <f t="shared" ref="U209:U221" si="208">J209/T209</f>
        <v>0.81772797276012388</v>
      </c>
      <c r="V209" s="44">
        <f t="shared" ref="V209:V221" si="209">(B209-$B$11)/(A209-$A$11)*1000</f>
        <v>799.19712892134226</v>
      </c>
      <c r="W209" s="45">
        <f t="shared" ref="W209:W221" si="210">W208+J209</f>
        <v>467.15601279518802</v>
      </c>
      <c r="X209" s="41">
        <f t="shared" ref="X209:X221" si="211">(W208/(B209-$B$11))</f>
        <v>2.9306938176634816</v>
      </c>
      <c r="Y209" s="45">
        <f t="shared" ref="Y209:Y221" si="212">S209+Y208</f>
        <v>3288.681906217003</v>
      </c>
      <c r="Z209" s="41">
        <f t="shared" ref="Z209:Z221" si="213">Y209/(A210-$A$11)</f>
        <v>16.526039729733682</v>
      </c>
      <c r="AA209" s="41">
        <f t="shared" ref="AA209:AA221" si="214">W209/A210</f>
        <v>2.3475176522371259</v>
      </c>
      <c r="AB209" s="39">
        <f>indtastning!F225/indtastning!E225</f>
        <v>1.6666666666666665</v>
      </c>
      <c r="AC209" s="40">
        <f t="shared" si="198"/>
        <v>5.6666666666666661</v>
      </c>
      <c r="AD209" s="40">
        <f t="shared" si="199"/>
        <v>814.00215611964586</v>
      </c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</row>
    <row r="210" spans="1:44" x14ac:dyDescent="0.25">
      <c r="A210" s="28">
        <v>199</v>
      </c>
      <c r="B210" s="41">
        <f t="shared" si="200"/>
        <v>165.35875949918588</v>
      </c>
      <c r="C210" s="39">
        <f>indtastning!E226</f>
        <v>1.02</v>
      </c>
      <c r="D210" s="40">
        <f t="shared" si="193"/>
        <v>0.88700000000000001</v>
      </c>
      <c r="E210" s="40">
        <f t="shared" si="201"/>
        <v>0.91699999999999993</v>
      </c>
      <c r="F210" s="40">
        <f t="shared" si="202"/>
        <v>0.98499999999999999</v>
      </c>
      <c r="G210" s="40">
        <f t="shared" si="194"/>
        <v>0.98499999999999999</v>
      </c>
      <c r="H210" s="50">
        <f t="shared" si="103"/>
        <v>4.2871336656381205</v>
      </c>
      <c r="I210" s="39">
        <f>IF(indtastning!J$23&gt;4.9,5,IF(indtastning!J$23&lt;indtastning!G226,indtastning!J$23,indtastning!G226))</f>
        <v>3.4</v>
      </c>
      <c r="J210" s="41">
        <f t="shared" si="203"/>
        <v>3.4</v>
      </c>
      <c r="K210" s="42">
        <f t="shared" si="204"/>
        <v>3.9416656587834815</v>
      </c>
      <c r="L210" s="46">
        <f t="shared" si="105"/>
        <v>0.94315099324334206</v>
      </c>
      <c r="M210" s="40">
        <f t="shared" si="205"/>
        <v>3.7175858811148128</v>
      </c>
      <c r="N210" s="39">
        <f>indtastning!D226</f>
        <v>4</v>
      </c>
      <c r="O210" s="45">
        <f t="shared" si="206"/>
        <v>14.870343524459251</v>
      </c>
      <c r="P210" s="39">
        <f t="shared" si="195"/>
        <v>16.121584264605499</v>
      </c>
      <c r="Q210" s="48">
        <f t="shared" si="196"/>
        <v>14.121584264605499</v>
      </c>
      <c r="R210" s="39">
        <f t="shared" si="104"/>
        <v>21.085918969061371</v>
      </c>
      <c r="S210" s="41">
        <f t="shared" si="197"/>
        <v>16.665741411352528</v>
      </c>
      <c r="T210" s="40">
        <f t="shared" si="207"/>
        <v>4.1664353528381319</v>
      </c>
      <c r="U210" s="40">
        <f t="shared" si="208"/>
        <v>0.81604530301519151</v>
      </c>
      <c r="V210" s="44">
        <f t="shared" si="209"/>
        <v>799.29024873962749</v>
      </c>
      <c r="W210" s="45">
        <f t="shared" si="210"/>
        <v>470.556012795188</v>
      </c>
      <c r="X210" s="41">
        <f t="shared" si="211"/>
        <v>2.9370027420437612</v>
      </c>
      <c r="Y210" s="45">
        <f t="shared" si="212"/>
        <v>3305.3476476283554</v>
      </c>
      <c r="Z210" s="41">
        <f t="shared" si="213"/>
        <v>16.526738238141778</v>
      </c>
      <c r="AA210" s="41">
        <f t="shared" si="214"/>
        <v>2.3527800639759402</v>
      </c>
      <c r="AB210" s="39">
        <f>indtastning!F226/indtastning!E226</f>
        <v>1.6666666666666665</v>
      </c>
      <c r="AC210" s="40">
        <f t="shared" si="198"/>
        <v>5.6666666666666661</v>
      </c>
      <c r="AD210" s="40">
        <f t="shared" si="199"/>
        <v>819.66882278631249</v>
      </c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</row>
    <row r="211" spans="1:44" x14ac:dyDescent="0.25">
      <c r="A211" s="28">
        <v>200</v>
      </c>
      <c r="B211" s="41">
        <f t="shared" si="200"/>
        <v>166.17480480220107</v>
      </c>
      <c r="C211" s="39">
        <f>indtastning!E227</f>
        <v>1.02</v>
      </c>
      <c r="D211" s="40">
        <f t="shared" si="193"/>
        <v>0.88700000000000001</v>
      </c>
      <c r="E211" s="40">
        <f t="shared" si="201"/>
        <v>0.91699999999999993</v>
      </c>
      <c r="F211" s="40">
        <f t="shared" si="202"/>
        <v>0.98499999999999999</v>
      </c>
      <c r="G211" s="40">
        <f t="shared" si="194"/>
        <v>0.98499999999999999</v>
      </c>
      <c r="H211" s="50">
        <f t="shared" si="103"/>
        <v>4.2789048089290818</v>
      </c>
      <c r="I211" s="39">
        <f>IF(indtastning!J$23&gt;4.9,5,IF(indtastning!J$23&lt;indtastning!G227,indtastning!J$23,indtastning!G227))</f>
        <v>3.4</v>
      </c>
      <c r="J211" s="41">
        <f t="shared" si="203"/>
        <v>3.4</v>
      </c>
      <c r="K211" s="42">
        <f t="shared" si="204"/>
        <v>3.9545108163309428</v>
      </c>
      <c r="L211" s="46">
        <f t="shared" si="105"/>
        <v>0.94316845595354448</v>
      </c>
      <c r="M211" s="40">
        <f t="shared" si="205"/>
        <v>3.7297698606904461</v>
      </c>
      <c r="N211" s="39">
        <f>indtastning!D227</f>
        <v>4</v>
      </c>
      <c r="O211" s="45">
        <f t="shared" si="206"/>
        <v>14.919079442761785</v>
      </c>
      <c r="P211" s="39">
        <f t="shared" si="195"/>
        <v>16.124754100411991</v>
      </c>
      <c r="Q211" s="48">
        <f t="shared" si="196"/>
        <v>14.124754100411991</v>
      </c>
      <c r="R211" s="39">
        <f t="shared" si="104"/>
        <v>21.089088068373147</v>
      </c>
      <c r="S211" s="41">
        <f t="shared" si="197"/>
        <v>16.700005888350244</v>
      </c>
      <c r="T211" s="40">
        <f t="shared" si="207"/>
        <v>4.175001472087561</v>
      </c>
      <c r="U211" s="40">
        <f t="shared" si="208"/>
        <v>0.81437097034122741</v>
      </c>
      <c r="V211" s="44">
        <f t="shared" si="209"/>
        <v>799.3740240110053</v>
      </c>
      <c r="W211" s="45">
        <f t="shared" si="210"/>
        <v>473.95601279518797</v>
      </c>
      <c r="X211" s="41">
        <f t="shared" si="211"/>
        <v>2.9432781067496241</v>
      </c>
      <c r="Y211" s="45">
        <f t="shared" si="212"/>
        <v>3322.0476535167059</v>
      </c>
      <c r="Z211" s="41">
        <f t="shared" si="213"/>
        <v>16.527600266252268</v>
      </c>
      <c r="AA211" s="41">
        <f t="shared" si="214"/>
        <v>2.3579901134088952</v>
      </c>
      <c r="AB211" s="39">
        <f>indtastning!F227/indtastning!E227</f>
        <v>1.6666666666666665</v>
      </c>
      <c r="AC211" s="40">
        <f t="shared" si="198"/>
        <v>5.6666666666666661</v>
      </c>
      <c r="AD211" s="40">
        <f t="shared" si="199"/>
        <v>825.33548945297912</v>
      </c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</row>
    <row r="212" spans="1:44" x14ac:dyDescent="0.25">
      <c r="A212" s="28">
        <v>201</v>
      </c>
      <c r="B212" s="41">
        <f t="shared" si="200"/>
        <v>166.9891757725423</v>
      </c>
      <c r="C212" s="39">
        <f>indtastning!E228</f>
        <v>1.02</v>
      </c>
      <c r="D212" s="40">
        <f t="shared" si="193"/>
        <v>0.88700000000000001</v>
      </c>
      <c r="E212" s="40">
        <f t="shared" si="201"/>
        <v>0.91699999999999993</v>
      </c>
      <c r="F212" s="40">
        <f t="shared" si="202"/>
        <v>0.98499999999999999</v>
      </c>
      <c r="G212" s="40">
        <f t="shared" si="194"/>
        <v>0.98499999999999999</v>
      </c>
      <c r="H212" s="50">
        <f t="shared" si="103"/>
        <v>4.2704051095049973</v>
      </c>
      <c r="I212" s="39">
        <f>IF(indtastning!J$23&gt;4.9,5,IF(indtastning!J$23&lt;indtastning!G228,indtastning!J$23,indtastning!G228))</f>
        <v>3.4</v>
      </c>
      <c r="J212" s="41">
        <f t="shared" si="203"/>
        <v>3.4</v>
      </c>
      <c r="K212" s="42">
        <f t="shared" si="204"/>
        <v>3.9673296186418696</v>
      </c>
      <c r="L212" s="46">
        <f t="shared" si="105"/>
        <v>0.9431900066563067</v>
      </c>
      <c r="M212" s="40">
        <f t="shared" si="205"/>
        <v>3.7419456494145877</v>
      </c>
      <c r="N212" s="39">
        <f>indtastning!D228</f>
        <v>4</v>
      </c>
      <c r="O212" s="45">
        <f t="shared" si="206"/>
        <v>14.967782597658351</v>
      </c>
      <c r="P212" s="39">
        <f t="shared" si="195"/>
        <v>16.127911231119285</v>
      </c>
      <c r="Q212" s="48">
        <f t="shared" si="196"/>
        <v>14.127911231119285</v>
      </c>
      <c r="R212" s="39">
        <f t="shared" si="104"/>
        <v>21.092242917459959</v>
      </c>
      <c r="S212" s="41">
        <f t="shared" si="197"/>
        <v>16.734241259378251</v>
      </c>
      <c r="T212" s="40">
        <f t="shared" si="207"/>
        <v>4.1835603148445628</v>
      </c>
      <c r="U212" s="40">
        <f t="shared" si="208"/>
        <v>0.81270490781159554</v>
      </c>
      <c r="V212" s="44">
        <f t="shared" si="209"/>
        <v>799.44863568428991</v>
      </c>
      <c r="W212" s="45">
        <f t="shared" si="210"/>
        <v>477.35601279518795</v>
      </c>
      <c r="X212" s="41">
        <f t="shared" si="211"/>
        <v>2.9495204671786928</v>
      </c>
      <c r="Y212" s="45">
        <f t="shared" si="212"/>
        <v>3338.7818947760843</v>
      </c>
      <c r="Z212" s="41">
        <f t="shared" si="213"/>
        <v>16.528623241465763</v>
      </c>
      <c r="AA212" s="41">
        <f t="shared" si="214"/>
        <v>2.3631485781939996</v>
      </c>
      <c r="AB212" s="39">
        <f>indtastning!F228/indtastning!E228</f>
        <v>1.6666666666666665</v>
      </c>
      <c r="AC212" s="40">
        <f t="shared" si="198"/>
        <v>5.6666666666666661</v>
      </c>
      <c r="AD212" s="40">
        <f t="shared" si="199"/>
        <v>831.00215611964575</v>
      </c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</row>
    <row r="213" spans="1:44" x14ac:dyDescent="0.25">
      <c r="A213" s="28">
        <v>202</v>
      </c>
      <c r="B213" s="41">
        <f t="shared" si="200"/>
        <v>167.80188068035389</v>
      </c>
      <c r="C213" s="39">
        <f>indtastning!E229</f>
        <v>1.02</v>
      </c>
      <c r="D213" s="40">
        <f t="shared" si="193"/>
        <v>0.88700000000000001</v>
      </c>
      <c r="E213" s="40">
        <f t="shared" si="201"/>
        <v>0.91699999999999993</v>
      </c>
      <c r="F213" s="40">
        <f t="shared" si="202"/>
        <v>0.98499999999999999</v>
      </c>
      <c r="G213" s="40">
        <f t="shared" si="194"/>
        <v>0.98499999999999999</v>
      </c>
      <c r="H213" s="50">
        <f t="shared" si="103"/>
        <v>4.2616362495358482</v>
      </c>
      <c r="I213" s="39">
        <f>IF(indtastning!J$23&gt;4.9,5,IF(indtastning!J$23&lt;indtastning!G229,indtastning!J$23,indtastning!G229))</f>
        <v>3.4</v>
      </c>
      <c r="J213" s="41">
        <f t="shared" si="203"/>
        <v>3.4</v>
      </c>
      <c r="K213" s="42">
        <f t="shared" si="204"/>
        <v>3.9801221958944595</v>
      </c>
      <c r="L213" s="46">
        <f t="shared" si="105"/>
        <v>0.94321558103664416</v>
      </c>
      <c r="M213" s="40">
        <f t="shared" si="205"/>
        <v>3.7541132695974366</v>
      </c>
      <c r="N213" s="39">
        <f>indtastning!D229</f>
        <v>4</v>
      </c>
      <c r="O213" s="45">
        <f t="shared" si="206"/>
        <v>15.016453078389747</v>
      </c>
      <c r="P213" s="39">
        <f t="shared" si="195"/>
        <v>16.131055769031082</v>
      </c>
      <c r="Q213" s="48">
        <f t="shared" si="196"/>
        <v>14.131055769031082</v>
      </c>
      <c r="R213" s="39">
        <f t="shared" si="104"/>
        <v>21.095383652360773</v>
      </c>
      <c r="S213" s="41">
        <f t="shared" si="197"/>
        <v>16.768447666574438</v>
      </c>
      <c r="T213" s="40">
        <f t="shared" si="207"/>
        <v>4.1921119166436096</v>
      </c>
      <c r="U213" s="40">
        <f t="shared" si="208"/>
        <v>0.81104704922147941</v>
      </c>
      <c r="V213" s="44">
        <f t="shared" si="209"/>
        <v>799.514260793831</v>
      </c>
      <c r="W213" s="45">
        <f t="shared" si="210"/>
        <v>480.75601279518793</v>
      </c>
      <c r="X213" s="41">
        <f t="shared" si="211"/>
        <v>2.9557303653941696</v>
      </c>
      <c r="Y213" s="45">
        <f t="shared" si="212"/>
        <v>3355.5503424426588</v>
      </c>
      <c r="Z213" s="41">
        <f t="shared" si="213"/>
        <v>16.529804642574675</v>
      </c>
      <c r="AA213" s="41">
        <f t="shared" si="214"/>
        <v>2.3682562206659505</v>
      </c>
      <c r="AB213" s="39">
        <f>indtastning!F229/indtastning!E229</f>
        <v>1.6666666666666665</v>
      </c>
      <c r="AC213" s="40">
        <f t="shared" si="198"/>
        <v>5.6666666666666661</v>
      </c>
      <c r="AD213" s="40">
        <f t="shared" si="199"/>
        <v>836.66882278631238</v>
      </c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</row>
    <row r="214" spans="1:44" s="6" customFormat="1" x14ac:dyDescent="0.25">
      <c r="A214" s="37">
        <v>203</v>
      </c>
      <c r="B214" s="39">
        <f t="shared" si="200"/>
        <v>168.61292772957538</v>
      </c>
      <c r="C214" s="39">
        <f>indtastning!E230</f>
        <v>1.02</v>
      </c>
      <c r="D214" s="40">
        <f t="shared" si="193"/>
        <v>0.88700000000000001</v>
      </c>
      <c r="E214" s="42">
        <f t="shared" si="201"/>
        <v>0.91699999999999993</v>
      </c>
      <c r="F214" s="42">
        <f t="shared" si="202"/>
        <v>0.98499999999999999</v>
      </c>
      <c r="G214" s="40">
        <f t="shared" si="194"/>
        <v>0.98499999999999999</v>
      </c>
      <c r="H214" s="50">
        <f t="shared" si="103"/>
        <v>4.2525998966680083</v>
      </c>
      <c r="I214" s="39">
        <f>IF(indtastning!J$23&gt;4.9,5,IF(indtastning!J$23&lt;indtastning!G230,indtastning!J$23,indtastning!G230))</f>
        <v>3.4</v>
      </c>
      <c r="J214" s="39">
        <f t="shared" si="203"/>
        <v>3.4</v>
      </c>
      <c r="K214" s="42">
        <f t="shared" si="204"/>
        <v>3.9928886772247978</v>
      </c>
      <c r="L214" s="46">
        <f t="shared" si="105"/>
        <v>0.9432451160643669</v>
      </c>
      <c r="M214" s="42">
        <f t="shared" si="205"/>
        <v>3.7662727437810006</v>
      </c>
      <c r="N214" s="39">
        <f>indtastning!D230</f>
        <v>4</v>
      </c>
      <c r="O214" s="48">
        <f t="shared" si="206"/>
        <v>15.065090975124003</v>
      </c>
      <c r="P214" s="39">
        <f t="shared" si="195"/>
        <v>16.134187824864398</v>
      </c>
      <c r="Q214" s="48">
        <f t="shared" si="196"/>
        <v>14.134187824864398</v>
      </c>
      <c r="R214" s="39">
        <f t="shared" si="104"/>
        <v>21.098510407080266</v>
      </c>
      <c r="S214" s="41">
        <f t="shared" si="197"/>
        <v>16.802625251408518</v>
      </c>
      <c r="T214" s="42">
        <f t="shared" si="207"/>
        <v>4.2006563128521295</v>
      </c>
      <c r="U214" s="42">
        <f t="shared" si="208"/>
        <v>0.80939732907867767</v>
      </c>
      <c r="V214" s="51">
        <f t="shared" si="209"/>
        <v>799.57107255948461</v>
      </c>
      <c r="W214" s="48">
        <f t="shared" si="210"/>
        <v>484.15601279518791</v>
      </c>
      <c r="X214" s="39">
        <f t="shared" si="211"/>
        <v>2.9619083305315081</v>
      </c>
      <c r="Y214" s="48">
        <f t="shared" si="212"/>
        <v>3372.3529676940675</v>
      </c>
      <c r="Z214" s="39">
        <f t="shared" si="213"/>
        <v>16.531141998500331</v>
      </c>
      <c r="AA214" s="39">
        <f t="shared" si="214"/>
        <v>2.3733137882117052</v>
      </c>
      <c r="AB214" s="39">
        <f>indtastning!F230/indtastning!E230</f>
        <v>1.6666666666666665</v>
      </c>
      <c r="AC214" s="40">
        <f t="shared" si="198"/>
        <v>5.6666666666666661</v>
      </c>
      <c r="AD214" s="40">
        <f t="shared" si="199"/>
        <v>842.335489452979</v>
      </c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</row>
    <row r="215" spans="1:44" x14ac:dyDescent="0.25">
      <c r="A215" s="28">
        <v>204</v>
      </c>
      <c r="B215" s="41">
        <f t="shared" si="200"/>
        <v>169.42232505865405</v>
      </c>
      <c r="C215" s="39">
        <f>indtastning!E231</f>
        <v>1.02</v>
      </c>
      <c r="D215" s="40">
        <f t="shared" si="193"/>
        <v>0.88700000000000001</v>
      </c>
      <c r="E215" s="40">
        <f t="shared" si="201"/>
        <v>0.91699999999999993</v>
      </c>
      <c r="F215" s="40">
        <f t="shared" si="202"/>
        <v>0.98499999999999999</v>
      </c>
      <c r="G215" s="40">
        <f t="shared" si="194"/>
        <v>0.98499999999999999</v>
      </c>
      <c r="H215" s="50">
        <f t="shared" si="103"/>
        <v>4.2432977041916171</v>
      </c>
      <c r="I215" s="39">
        <f>IF(indtastning!J$23&gt;4.9,5,IF(indtastning!J$23&lt;indtastning!G231,indtastning!J$23,indtastning!G231))</f>
        <v>3.4</v>
      </c>
      <c r="J215" s="41">
        <f t="shared" si="203"/>
        <v>3.4</v>
      </c>
      <c r="K215" s="42">
        <f t="shared" si="204"/>
        <v>4.0056291907380732</v>
      </c>
      <c r="L215" s="46">
        <f t="shared" si="105"/>
        <v>0.94327854996250837</v>
      </c>
      <c r="M215" s="40">
        <f t="shared" si="205"/>
        <v>3.7784240947269057</v>
      </c>
      <c r="N215" s="39">
        <f>indtastning!D231</f>
        <v>4</v>
      </c>
      <c r="O215" s="45">
        <f t="shared" si="206"/>
        <v>15.113696378907623</v>
      </c>
      <c r="P215" s="39">
        <f t="shared" si="195"/>
        <v>16.137307507780715</v>
      </c>
      <c r="Q215" s="48">
        <f t="shared" si="196"/>
        <v>14.137307507780715</v>
      </c>
      <c r="R215" s="39">
        <f t="shared" si="104"/>
        <v>21.10162331363054</v>
      </c>
      <c r="S215" s="41">
        <f t="shared" si="197"/>
        <v>16.836774154675972</v>
      </c>
      <c r="T215" s="40">
        <f t="shared" si="207"/>
        <v>4.2091935386689929</v>
      </c>
      <c r="U215" s="40">
        <f t="shared" si="208"/>
        <v>0.80775568259451624</v>
      </c>
      <c r="V215" s="44">
        <f t="shared" si="209"/>
        <v>799.61924048359822</v>
      </c>
      <c r="W215" s="45">
        <f t="shared" si="210"/>
        <v>487.55601279518788</v>
      </c>
      <c r="X215" s="41">
        <f t="shared" si="211"/>
        <v>2.9680548791901997</v>
      </c>
      <c r="Y215" s="45">
        <f t="shared" si="212"/>
        <v>3389.1897418487433</v>
      </c>
      <c r="Z215" s="41">
        <f t="shared" si="213"/>
        <v>16.532632887067042</v>
      </c>
      <c r="AA215" s="41">
        <f t="shared" si="214"/>
        <v>2.3783220136350627</v>
      </c>
      <c r="AB215" s="39">
        <f>indtastning!F231/indtastning!E231</f>
        <v>1.6666666666666665</v>
      </c>
      <c r="AC215" s="40">
        <f t="shared" si="198"/>
        <v>5.6666666666666661</v>
      </c>
      <c r="AD215" s="40">
        <f t="shared" si="199"/>
        <v>848.00215611964563</v>
      </c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</row>
    <row r="216" spans="1:44" x14ac:dyDescent="0.25">
      <c r="A216" s="28">
        <v>205</v>
      </c>
      <c r="B216" s="41">
        <f t="shared" si="200"/>
        <v>170.23008074124857</v>
      </c>
      <c r="C216" s="39">
        <f>indtastning!E232</f>
        <v>1.02</v>
      </c>
      <c r="D216" s="40">
        <f t="shared" si="193"/>
        <v>0.88700000000000001</v>
      </c>
      <c r="E216" s="40">
        <f t="shared" si="201"/>
        <v>0.91699999999999993</v>
      </c>
      <c r="F216" s="40">
        <f t="shared" si="202"/>
        <v>0.98499999999999999</v>
      </c>
      <c r="G216" s="40">
        <f t="shared" si="194"/>
        <v>0.98499999999999999</v>
      </c>
      <c r="H216" s="50">
        <f t="shared" si="103"/>
        <v>4.2337313112055686</v>
      </c>
      <c r="I216" s="39">
        <f>IF(indtastning!J$23&gt;4.9,5,IF(indtastning!J$23&lt;indtastning!G232,indtastning!J$23,indtastning!G232))</f>
        <v>3.4</v>
      </c>
      <c r="J216" s="41">
        <f t="shared" si="203"/>
        <v>3.4</v>
      </c>
      <c r="K216" s="42">
        <f t="shared" si="204"/>
        <v>4.0183438635196538</v>
      </c>
      <c r="L216" s="46">
        <f t="shared" si="105"/>
        <v>0.94331582217667609</v>
      </c>
      <c r="M216" s="40">
        <f t="shared" si="205"/>
        <v>3.7905673454046434</v>
      </c>
      <c r="N216" s="39">
        <f>indtastning!D232</f>
        <v>4</v>
      </c>
      <c r="O216" s="45">
        <f t="shared" si="206"/>
        <v>15.162269381618573</v>
      </c>
      <c r="P216" s="39">
        <f t="shared" si="195"/>
        <v>16.140414925416366</v>
      </c>
      <c r="Q216" s="48">
        <f t="shared" si="196"/>
        <v>14.140414925416366</v>
      </c>
      <c r="R216" s="39">
        <f t="shared" si="104"/>
        <v>21.104722502071795</v>
      </c>
      <c r="S216" s="41">
        <f t="shared" si="197"/>
        <v>16.870894516492466</v>
      </c>
      <c r="T216" s="40">
        <f t="shared" si="207"/>
        <v>4.2177236291231166</v>
      </c>
      <c r="U216" s="40">
        <f t="shared" si="208"/>
        <v>0.80612204567487866</v>
      </c>
      <c r="V216" s="44">
        <f t="shared" si="209"/>
        <v>799.65893044511495</v>
      </c>
      <c r="W216" s="45">
        <f t="shared" si="210"/>
        <v>490.95601279518786</v>
      </c>
      <c r="X216" s="41">
        <f t="shared" si="211"/>
        <v>2.9741705158113034</v>
      </c>
      <c r="Y216" s="45">
        <f t="shared" si="212"/>
        <v>3406.060636365236</v>
      </c>
      <c r="Z216" s="41">
        <f t="shared" si="213"/>
        <v>16.534274933811826</v>
      </c>
      <c r="AA216" s="41">
        <f t="shared" si="214"/>
        <v>2.3832816155106209</v>
      </c>
      <c r="AB216" s="39">
        <f>indtastning!F232/indtastning!E232</f>
        <v>1.6666666666666665</v>
      </c>
      <c r="AC216" s="40">
        <f t="shared" si="198"/>
        <v>5.6666666666666661</v>
      </c>
      <c r="AD216" s="40">
        <f t="shared" si="199"/>
        <v>853.66882278631226</v>
      </c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</row>
    <row r="217" spans="1:44" x14ac:dyDescent="0.25">
      <c r="A217" s="28">
        <v>206</v>
      </c>
      <c r="B217" s="41">
        <f t="shared" si="200"/>
        <v>171.03620278692344</v>
      </c>
      <c r="C217" s="39">
        <f>indtastning!E233</f>
        <v>1.02</v>
      </c>
      <c r="D217" s="40">
        <f t="shared" si="193"/>
        <v>0.88700000000000001</v>
      </c>
      <c r="E217" s="40">
        <f t="shared" si="201"/>
        <v>0.91699999999999993</v>
      </c>
      <c r="F217" s="40">
        <f t="shared" si="202"/>
        <v>0.98499999999999999</v>
      </c>
      <c r="G217" s="40">
        <f t="shared" si="194"/>
        <v>0.98499999999999999</v>
      </c>
      <c r="H217" s="50">
        <f t="shared" si="103"/>
        <v>4.2239023427801277</v>
      </c>
      <c r="I217" s="39">
        <f>IF(indtastning!J$23&gt;4.9,5,IF(indtastning!J$23&lt;indtastning!G233,indtastning!J$23,indtastning!G233))</f>
        <v>3.4</v>
      </c>
      <c r="J217" s="41">
        <f t="shared" si="203"/>
        <v>3.4</v>
      </c>
      <c r="K217" s="42">
        <f t="shared" si="204"/>
        <v>4.0310328216460176</v>
      </c>
      <c r="L217" s="46">
        <f t="shared" si="105"/>
        <v>0.94335687334529572</v>
      </c>
      <c r="M217" s="40">
        <f t="shared" si="205"/>
        <v>3.8027025189802521</v>
      </c>
      <c r="N217" s="39">
        <f>indtastning!D233</f>
        <v>4</v>
      </c>
      <c r="O217" s="45">
        <f t="shared" si="206"/>
        <v>15.210810075921009</v>
      </c>
      <c r="P217" s="39">
        <f t="shared" si="195"/>
        <v>16.143510183912145</v>
      </c>
      <c r="Q217" s="48">
        <f t="shared" si="196"/>
        <v>14.143510183912145</v>
      </c>
      <c r="R217" s="39">
        <f t="shared" si="104"/>
        <v>21.107808100551924</v>
      </c>
      <c r="S217" s="41">
        <f t="shared" si="197"/>
        <v>16.904986476288762</v>
      </c>
      <c r="T217" s="40">
        <f t="shared" si="207"/>
        <v>4.2262466190721906</v>
      </c>
      <c r="U217" s="40">
        <f t="shared" si="208"/>
        <v>0.80449635491135141</v>
      </c>
      <c r="V217" s="44">
        <f t="shared" si="209"/>
        <v>799.69030479089042</v>
      </c>
      <c r="W217" s="45">
        <f t="shared" si="210"/>
        <v>494.35601279518784</v>
      </c>
      <c r="X217" s="41">
        <f t="shared" si="211"/>
        <v>2.9802557330413313</v>
      </c>
      <c r="Y217" s="45">
        <f t="shared" si="212"/>
        <v>3422.9656228415247</v>
      </c>
      <c r="Z217" s="41">
        <f t="shared" si="213"/>
        <v>16.536065810828621</v>
      </c>
      <c r="AA217" s="41">
        <f t="shared" si="214"/>
        <v>2.3881932985274776</v>
      </c>
      <c r="AB217" s="39">
        <f>indtastning!F233/indtastning!E233</f>
        <v>1.6666666666666665</v>
      </c>
      <c r="AC217" s="40">
        <f t="shared" si="198"/>
        <v>5.6666666666666661</v>
      </c>
      <c r="AD217" s="40">
        <f t="shared" si="199"/>
        <v>859.33548945297889</v>
      </c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</row>
    <row r="218" spans="1:44" x14ac:dyDescent="0.25">
      <c r="A218" s="28">
        <v>207</v>
      </c>
      <c r="B218" s="41">
        <f t="shared" si="200"/>
        <v>171.84069914183479</v>
      </c>
      <c r="C218" s="39">
        <f>indtastning!E234</f>
        <v>1.02</v>
      </c>
      <c r="D218" s="40">
        <f t="shared" si="193"/>
        <v>0.88700000000000001</v>
      </c>
      <c r="E218" s="40">
        <f t="shared" si="201"/>
        <v>0.91699999999999993</v>
      </c>
      <c r="F218" s="40">
        <f t="shared" si="202"/>
        <v>0.98499999999999999</v>
      </c>
      <c r="G218" s="40">
        <f t="shared" si="194"/>
        <v>0.98499999999999999</v>
      </c>
      <c r="H218" s="50">
        <f t="shared" ref="H218:H221" si="215">(B218*0.0627-B218*B218*0.00022)*$K$6*(IF(Z218&lt;15.4,0.97,IF(Z218&lt;15.7,0.98,IF(Z218&lt;16.5,0.99,1))))*G218</f>
        <v>4.2138124101172689</v>
      </c>
      <c r="I218" s="39">
        <f>IF(indtastning!J$23&gt;4.9,5,IF(indtastning!J$23&lt;indtastning!G234,indtastning!J$23,indtastning!G234))</f>
        <v>3.4</v>
      </c>
      <c r="J218" s="41">
        <f t="shared" si="203"/>
        <v>3.4</v>
      </c>
      <c r="K218" s="42">
        <f t="shared" si="204"/>
        <v>4.0436961901955479</v>
      </c>
      <c r="L218" s="46">
        <f t="shared" si="105"/>
        <v>0.94340164527071557</v>
      </c>
      <c r="M218" s="40">
        <f t="shared" si="205"/>
        <v>3.8148296388054042</v>
      </c>
      <c r="N218" s="39">
        <f>indtastning!D234</f>
        <v>4</v>
      </c>
      <c r="O218" s="45">
        <f t="shared" si="206"/>
        <v>15.259318555221617</v>
      </c>
      <c r="P218" s="39">
        <f t="shared" si="195"/>
        <v>16.146593387942179</v>
      </c>
      <c r="Q218" s="48">
        <f t="shared" si="196"/>
        <v>14.146593387942179</v>
      </c>
      <c r="R218" s="39">
        <f t="shared" si="104"/>
        <v>21.110880235345071</v>
      </c>
      <c r="S218" s="41">
        <f t="shared" si="197"/>
        <v>16.93905017280608</v>
      </c>
      <c r="T218" s="40">
        <f t="shared" si="207"/>
        <v>4.2347625432015201</v>
      </c>
      <c r="U218" s="40">
        <f t="shared" si="208"/>
        <v>0.80287854757248511</v>
      </c>
      <c r="V218" s="44">
        <f t="shared" si="209"/>
        <v>799.7135224243226</v>
      </c>
      <c r="W218" s="45">
        <f t="shared" si="210"/>
        <v>497.75601279518781</v>
      </c>
      <c r="X218" s="41">
        <f t="shared" si="211"/>
        <v>2.9863110120830472</v>
      </c>
      <c r="Y218" s="45">
        <f t="shared" si="212"/>
        <v>3439.9046730143309</v>
      </c>
      <c r="Z218" s="41">
        <f t="shared" si="213"/>
        <v>16.538003235645821</v>
      </c>
      <c r="AA218" s="41">
        <f t="shared" si="214"/>
        <v>2.3930577538230184</v>
      </c>
      <c r="AB218" s="39">
        <f>indtastning!F234/indtastning!E234</f>
        <v>1.6666666666666665</v>
      </c>
      <c r="AC218" s="40">
        <f t="shared" si="198"/>
        <v>5.6666666666666661</v>
      </c>
      <c r="AD218" s="40">
        <f t="shared" si="199"/>
        <v>865.00215611964552</v>
      </c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</row>
    <row r="219" spans="1:44" x14ac:dyDescent="0.25">
      <c r="A219" s="28">
        <v>208</v>
      </c>
      <c r="B219" s="41">
        <f t="shared" si="200"/>
        <v>172.64357768940727</v>
      </c>
      <c r="C219" s="39">
        <f>indtastning!E235</f>
        <v>1.02</v>
      </c>
      <c r="D219" s="40">
        <f t="shared" si="193"/>
        <v>0.88700000000000001</v>
      </c>
      <c r="E219" s="40">
        <f t="shared" si="201"/>
        <v>0.91699999999999993</v>
      </c>
      <c r="F219" s="40">
        <f t="shared" si="202"/>
        <v>0.98499999999999999</v>
      </c>
      <c r="G219" s="40">
        <f t="shared" si="194"/>
        <v>0.98499999999999999</v>
      </c>
      <c r="H219" s="50">
        <f t="shared" si="215"/>
        <v>4.2034631107087153</v>
      </c>
      <c r="I219" s="39">
        <f>IF(indtastning!J$23&gt;4.9,5,IF(indtastning!J$23&lt;indtastning!G235,indtastning!J$23,indtastning!G235))</f>
        <v>3.4</v>
      </c>
      <c r="J219" s="41">
        <f t="shared" si="203"/>
        <v>3.4</v>
      </c>
      <c r="K219" s="42">
        <f t="shared" si="204"/>
        <v>4.0563340932591885</v>
      </c>
      <c r="L219" s="46">
        <f t="shared" si="105"/>
        <v>0.94345008089114557</v>
      </c>
      <c r="M219" s="40">
        <f t="shared" si="205"/>
        <v>3.8269487284068928</v>
      </c>
      <c r="N219" s="39">
        <f>indtastning!D235</f>
        <v>4</v>
      </c>
      <c r="O219" s="45">
        <f t="shared" si="206"/>
        <v>15.307794913627571</v>
      </c>
      <c r="P219" s="39">
        <f t="shared" si="195"/>
        <v>16.149664640742078</v>
      </c>
      <c r="Q219" s="48">
        <f t="shared" si="196"/>
        <v>14.149664640742078</v>
      </c>
      <c r="R219" s="39">
        <f t="shared" si="104"/>
        <v>21.11393903088921</v>
      </c>
      <c r="S219" s="41">
        <f t="shared" si="197"/>
        <v>16.973085744091886</v>
      </c>
      <c r="T219" s="40">
        <f t="shared" si="207"/>
        <v>4.2432714360229715</v>
      </c>
      <c r="U219" s="40">
        <f t="shared" si="208"/>
        <v>0.80126856159517046</v>
      </c>
      <c r="V219" s="44">
        <f t="shared" si="209"/>
        <v>799.72873889138111</v>
      </c>
      <c r="W219" s="45">
        <f t="shared" si="210"/>
        <v>501.15601279518779</v>
      </c>
      <c r="X219" s="41">
        <f t="shared" si="211"/>
        <v>2.9923368230337446</v>
      </c>
      <c r="Y219" s="45">
        <f t="shared" si="212"/>
        <v>3456.8777587584227</v>
      </c>
      <c r="Z219" s="41">
        <f t="shared" si="213"/>
        <v>16.540084970135993</v>
      </c>
      <c r="AA219" s="41">
        <f t="shared" si="214"/>
        <v>2.3978756593071187</v>
      </c>
      <c r="AB219" s="39">
        <f>indtastning!F235/indtastning!E235</f>
        <v>1.6666666666666665</v>
      </c>
      <c r="AC219" s="40">
        <f t="shared" si="198"/>
        <v>5.6666666666666661</v>
      </c>
      <c r="AD219" s="40">
        <f t="shared" si="199"/>
        <v>870.66882278631215</v>
      </c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</row>
    <row r="220" spans="1:44" x14ac:dyDescent="0.25">
      <c r="A220" s="28">
        <v>209</v>
      </c>
      <c r="B220" s="41">
        <f t="shared" si="200"/>
        <v>173.44484625100245</v>
      </c>
      <c r="C220" s="39">
        <f>indtastning!E236</f>
        <v>1.02</v>
      </c>
      <c r="D220" s="40">
        <f t="shared" si="193"/>
        <v>0.88700000000000001</v>
      </c>
      <c r="E220" s="40">
        <f t="shared" si="201"/>
        <v>0.91699999999999993</v>
      </c>
      <c r="F220" s="40">
        <f t="shared" si="202"/>
        <v>0.98499999999999999</v>
      </c>
      <c r="G220" s="40">
        <f t="shared" si="194"/>
        <v>0.98499999999999999</v>
      </c>
      <c r="H220" s="50">
        <f t="shared" si="215"/>
        <v>4.1928560284917449</v>
      </c>
      <c r="I220" s="39">
        <f>IF(indtastning!J$23&gt;4.9,5,IF(indtastning!J$23&lt;indtastning!G236,indtastning!J$23,indtastning!G236))</f>
        <v>3.4</v>
      </c>
      <c r="J220" s="41">
        <f t="shared" si="203"/>
        <v>3.4</v>
      </c>
      <c r="K220" s="42">
        <f t="shared" si="204"/>
        <v>4.0689466539509649</v>
      </c>
      <c r="L220" s="46">
        <f t="shared" si="105"/>
        <v>0.94350212425339985</v>
      </c>
      <c r="M220" s="40">
        <f t="shared" si="205"/>
        <v>3.8390598114764987</v>
      </c>
      <c r="N220" s="39">
        <f>indtastning!D236</f>
        <v>4</v>
      </c>
      <c r="O220" s="45">
        <f t="shared" si="206"/>
        <v>15.356239245905995</v>
      </c>
      <c r="P220" s="39">
        <f t="shared" si="195"/>
        <v>16.152724044136413</v>
      </c>
      <c r="Q220" s="48">
        <f t="shared" si="196"/>
        <v>14.152724044136413</v>
      </c>
      <c r="R220" s="39">
        <f t="shared" si="104"/>
        <v>21.116984609822769</v>
      </c>
      <c r="S220" s="41">
        <f t="shared" si="197"/>
        <v>17.007093327496129</v>
      </c>
      <c r="T220" s="40">
        <f t="shared" si="207"/>
        <v>4.2517733318740323</v>
      </c>
      <c r="U220" s="40">
        <f t="shared" si="208"/>
        <v>0.79966633557612521</v>
      </c>
      <c r="V220" s="44">
        <f t="shared" si="209"/>
        <v>799.73610646412646</v>
      </c>
      <c r="W220" s="45">
        <f t="shared" si="210"/>
        <v>504.55601279518777</v>
      </c>
      <c r="X220" s="41">
        <f t="shared" si="211"/>
        <v>2.9983336252115054</v>
      </c>
      <c r="Y220" s="45">
        <f t="shared" si="212"/>
        <v>3473.8848520859187</v>
      </c>
      <c r="Z220" s="41">
        <f t="shared" si="213"/>
        <v>16.542308819456757</v>
      </c>
      <c r="AA220" s="41">
        <f t="shared" si="214"/>
        <v>2.4026476799770844</v>
      </c>
      <c r="AB220" s="39">
        <f>indtastning!F236/indtastning!E236</f>
        <v>1.6666666666666665</v>
      </c>
      <c r="AC220" s="40">
        <f t="shared" si="198"/>
        <v>5.6666666666666661</v>
      </c>
      <c r="AD220" s="40">
        <f t="shared" si="199"/>
        <v>876.33548945297878</v>
      </c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</row>
    <row r="221" spans="1:44" x14ac:dyDescent="0.25">
      <c r="A221" s="28">
        <v>210</v>
      </c>
      <c r="B221" s="41">
        <f t="shared" si="200"/>
        <v>174.24451258657857</v>
      </c>
      <c r="C221" s="39">
        <f>indtastning!E237</f>
        <v>1.02</v>
      </c>
      <c r="D221" s="40">
        <f t="shared" si="193"/>
        <v>0.88700000000000001</v>
      </c>
      <c r="E221" s="40">
        <f t="shared" si="201"/>
        <v>0.91699999999999993</v>
      </c>
      <c r="F221" s="40">
        <f t="shared" si="202"/>
        <v>0.98499999999999999</v>
      </c>
      <c r="G221" s="40">
        <f t="shared" si="194"/>
        <v>0.98499999999999999</v>
      </c>
      <c r="H221" s="50">
        <f t="shared" si="215"/>
        <v>4.1819927340028089</v>
      </c>
      <c r="I221" s="39">
        <f>IF(indtastning!J$23&gt;4.9,5,IF(indtastning!J$23&lt;indtastning!G237,indtastning!J$23,indtastning!G237))</f>
        <v>3.4</v>
      </c>
      <c r="J221" s="41">
        <f t="shared" si="203"/>
        <v>3.4</v>
      </c>
      <c r="K221" s="42">
        <f t="shared" si="204"/>
        <v>4.0815339944183666</v>
      </c>
      <c r="L221" s="46">
        <f t="shared" si="105"/>
        <v>0.94355772048641895</v>
      </c>
      <c r="M221" s="40">
        <f t="shared" si="205"/>
        <v>3.8511629118612221</v>
      </c>
      <c r="N221" s="39">
        <f>indtastning!D237</f>
        <v>4</v>
      </c>
      <c r="O221" s="45">
        <f t="shared" si="206"/>
        <v>15.404651647444888</v>
      </c>
      <c r="P221" s="39">
        <f t="shared" si="195"/>
        <v>16.155771698565481</v>
      </c>
      <c r="Q221" s="48">
        <f t="shared" si="196"/>
        <v>14.155771698565481</v>
      </c>
      <c r="R221" s="39">
        <f t="shared" si="104"/>
        <v>21.120017093020309</v>
      </c>
      <c r="S221" s="41">
        <f t="shared" si="197"/>
        <v>17.041073059667813</v>
      </c>
      <c r="T221" s="40">
        <f t="shared" si="207"/>
        <v>4.2602682649169532</v>
      </c>
      <c r="U221" s="40">
        <f t="shared" si="208"/>
        <v>0.79807180876349748</v>
      </c>
      <c r="V221" s="44">
        <f t="shared" si="209"/>
        <v>799.73577422180267</v>
      </c>
      <c r="W221" s="45">
        <f t="shared" si="210"/>
        <v>507.95601279518775</v>
      </c>
      <c r="X221" s="41">
        <f t="shared" si="211"/>
        <v>3.004301867469946</v>
      </c>
      <c r="Y221" s="45">
        <f t="shared" si="212"/>
        <v>3490.9259251455865</v>
      </c>
      <c r="Z221" s="41">
        <f t="shared" si="213"/>
        <v>16.544672631021736</v>
      </c>
      <c r="AA221" s="41">
        <f t="shared" si="214"/>
        <v>2.4073744682236384</v>
      </c>
      <c r="AB221" s="39">
        <f>indtastning!F237/indtastning!E237</f>
        <v>1.6666666666666665</v>
      </c>
      <c r="AC221" s="40">
        <f t="shared" si="198"/>
        <v>5.6666666666666661</v>
      </c>
      <c r="AD221" s="40">
        <f t="shared" si="199"/>
        <v>882.00215611964541</v>
      </c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</row>
    <row r="222" spans="1:44" x14ac:dyDescent="0.25">
      <c r="A222" s="28">
        <v>211</v>
      </c>
      <c r="B222" s="41">
        <f t="shared" ref="B222" si="216">B221+U221</f>
        <v>175.04258439534206</v>
      </c>
      <c r="C222" s="39">
        <f>indtastning!E238</f>
        <v>0</v>
      </c>
      <c r="D222" s="40">
        <f t="shared" si="193"/>
        <v>-0.64</v>
      </c>
      <c r="E222" s="40">
        <f t="shared" ref="E222" si="217">IF(C222&gt;1.12,1,IF(C222&gt;1.1,1-(1.12-C222)*0.5,IF(C222&gt;1.05,0.99-(1.1-C222)*0.8,IF(C222&gt;1,0.95-(1.05-C222)*1.1,IF(C222&lt;1.01,0.9-(1-C222)*1.4,0.8)))))</f>
        <v>-0.49999999999999989</v>
      </c>
      <c r="F222" s="40">
        <f t="shared" ref="F222" si="218">IF(C222&gt;1.12,1,IF(C222&gt;1.07,1,IF(C222&gt;1.02,1-(1.07-C222)*0.3,IF(C222&gt;0.98,0.985-(1.02-C222)*0.8,IF(C222&lt;0.9801,0.97-(1-C222)*1.1,0.8)))))</f>
        <v>-0.13000000000000012</v>
      </c>
      <c r="G222" s="40">
        <f t="shared" si="194"/>
        <v>-0.13000000000000012</v>
      </c>
      <c r="H222" s="50">
        <f>(B222*0.0627-B222*B222*0.00022)*$K$6*G222</f>
        <v>-0.55047078374494085</v>
      </c>
      <c r="I222" s="39">
        <f>IF(indtastning!J$23&gt;4.9,5,IF(indtastning!J$23&lt;indtastning!G238,indtastning!J$23,indtastning!G238))</f>
        <v>3.4</v>
      </c>
      <c r="J222" s="41">
        <f t="shared" ref="J222" si="219">IF(I222&lt;H222,I222,H222)</f>
        <v>-0.55047078374494085</v>
      </c>
      <c r="K222" s="42">
        <f t="shared" ref="K222" si="220">$I$5+$I$4*B222</f>
        <v>4.0940962358526072</v>
      </c>
      <c r="L222" s="46">
        <f t="shared" si="105"/>
        <v>0.94361681577554346</v>
      </c>
      <c r="M222" s="40">
        <f t="shared" ref="M222" si="221">K222*L222</f>
        <v>3.8632580535538756</v>
      </c>
      <c r="N222" s="39">
        <f>indtastning!D238</f>
        <v>0</v>
      </c>
      <c r="O222" s="45">
        <f t="shared" ref="O222" si="222">M222*N222</f>
        <v>0</v>
      </c>
      <c r="P222" s="39">
        <f t="shared" si="195"/>
        <v>16.158807703111446</v>
      </c>
      <c r="Q222" s="48">
        <f t="shared" si="196"/>
        <v>14.158807703111446</v>
      </c>
      <c r="R222" s="39">
        <f t="shared" si="104"/>
        <v>21.123036599627319</v>
      </c>
      <c r="S222" s="41">
        <f t="shared" si="197"/>
        <v>16.158807703111446</v>
      </c>
      <c r="T222" s="40" t="e">
        <f t="shared" ref="T222" si="223">S222/N222</f>
        <v>#DIV/0!</v>
      </c>
      <c r="U222" s="40" t="e">
        <f t="shared" ref="U222" si="224">J222/T222</f>
        <v>#DIV/0!</v>
      </c>
      <c r="V222" s="44">
        <f t="shared" ref="V222" si="225">(B222-$B$11)/(A222-$A$11)*1000</f>
        <v>799.72788812958322</v>
      </c>
      <c r="W222" s="45">
        <f t="shared" ref="W222" si="226">W221+J222</f>
        <v>507.40554201144283</v>
      </c>
      <c r="X222" s="41">
        <f t="shared" ref="X222" si="227">(W221/(B222-$B$11))</f>
        <v>3.0102419885019214</v>
      </c>
      <c r="Y222" s="45">
        <f t="shared" ref="Y222" si="228">S222+Y221</f>
        <v>3507.084732848698</v>
      </c>
      <c r="Z222" s="41" t="e">
        <f t="shared" ref="Z222" si="229">Y222/(A223-$A$11)</f>
        <v>#DIV/0!</v>
      </c>
      <c r="AA222" s="41" t="e">
        <f t="shared" ref="AA222" si="230">W222/A223</f>
        <v>#DIV/0!</v>
      </c>
      <c r="AB222" s="39" t="e">
        <f>indtastning!F238/indtastning!E238</f>
        <v>#DIV/0!</v>
      </c>
      <c r="AC222" s="40">
        <f t="shared" si="198"/>
        <v>5.6666666666666661</v>
      </c>
      <c r="AD222" s="40">
        <f t="shared" si="199"/>
        <v>887.66882278631203</v>
      </c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</row>
    <row r="223" spans="1:44" x14ac:dyDescent="0.25">
      <c r="A223" s="28"/>
      <c r="B223" s="41"/>
      <c r="C223" s="41"/>
      <c r="D223" s="41"/>
      <c r="E223" s="40"/>
      <c r="F223" s="40"/>
      <c r="G223" s="40"/>
      <c r="H223" s="39"/>
      <c r="I223" s="40"/>
      <c r="J223" s="41"/>
      <c r="K223" s="42"/>
      <c r="L223" s="40"/>
      <c r="M223" s="40"/>
      <c r="N223" s="28"/>
      <c r="O223" s="45"/>
      <c r="P223" s="45"/>
      <c r="Q223" s="45"/>
      <c r="R223" s="45"/>
      <c r="S223" s="48"/>
      <c r="T223" s="40"/>
      <c r="U223" s="40"/>
      <c r="V223" s="44"/>
      <c r="W223" s="45"/>
      <c r="X223" s="41"/>
      <c r="Y223" s="45"/>
      <c r="Z223" s="41"/>
      <c r="AA223" s="41"/>
      <c r="AB223" s="41"/>
      <c r="AC223" s="40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</row>
    <row r="224" spans="1:44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40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</row>
    <row r="225" spans="1:44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40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</row>
    <row r="226" spans="1:44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40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</row>
    <row r="227" spans="1:44" x14ac:dyDescent="0.25">
      <c r="AC227" s="2"/>
    </row>
    <row r="228" spans="1:44" x14ac:dyDescent="0.25">
      <c r="AC228" s="2"/>
    </row>
    <row r="229" spans="1:44" x14ac:dyDescent="0.25">
      <c r="AC229" s="2"/>
    </row>
    <row r="230" spans="1:44" x14ac:dyDescent="0.25">
      <c r="AC230" s="2"/>
    </row>
    <row r="231" spans="1:44" x14ac:dyDescent="0.25">
      <c r="AC231" s="2"/>
    </row>
    <row r="232" spans="1:44" x14ac:dyDescent="0.25">
      <c r="AC232" s="2"/>
    </row>
    <row r="233" spans="1:44" x14ac:dyDescent="0.25">
      <c r="AC233" s="2"/>
    </row>
    <row r="234" spans="1:44" x14ac:dyDescent="0.25">
      <c r="AC234" s="2"/>
    </row>
    <row r="235" spans="1:44" x14ac:dyDescent="0.25">
      <c r="AC235" s="2"/>
    </row>
    <row r="236" spans="1:44" x14ac:dyDescent="0.25">
      <c r="AC236" s="2"/>
    </row>
    <row r="237" spans="1:44" x14ac:dyDescent="0.25">
      <c r="AC237" s="2"/>
    </row>
    <row r="238" spans="1:44" x14ac:dyDescent="0.25">
      <c r="AC238" s="2"/>
    </row>
    <row r="239" spans="1:44" x14ac:dyDescent="0.25">
      <c r="AC239" s="2"/>
    </row>
    <row r="240" spans="1:44" x14ac:dyDescent="0.25">
      <c r="AC240" s="2"/>
    </row>
    <row r="241" spans="29:29" x14ac:dyDescent="0.25">
      <c r="AC241" s="2"/>
    </row>
    <row r="242" spans="29:29" x14ac:dyDescent="0.25">
      <c r="AC242" s="2"/>
    </row>
    <row r="243" spans="29:29" x14ac:dyDescent="0.25">
      <c r="AC243" s="2"/>
    </row>
    <row r="244" spans="29:29" x14ac:dyDescent="0.25">
      <c r="AC244" s="2">
        <f t="shared" si="198"/>
        <v>0</v>
      </c>
    </row>
    <row r="245" spans="29:29" x14ac:dyDescent="0.25">
      <c r="AC245" s="2">
        <f t="shared" si="198"/>
        <v>0</v>
      </c>
    </row>
    <row r="246" spans="29:29" x14ac:dyDescent="0.25">
      <c r="AC246" s="2">
        <f t="shared" si="198"/>
        <v>0</v>
      </c>
    </row>
    <row r="247" spans="29:29" x14ac:dyDescent="0.25">
      <c r="AC247" s="2">
        <f t="shared" si="198"/>
        <v>0</v>
      </c>
    </row>
  </sheetData>
  <sheetProtection algorithmName="SHA-512" hashValue="WiCanPRK4C5Ty6xuHDRAHqkhfn4LCpAcTTDw50E1r5EFq90sDn4+wc9X2skSuC9wUAROH6XQrrnRCAIDTo2IKg==" saltValue="JUem+L+zcqvgJgEo6VDne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8B034-F96C-4592-BBA5-BB5FC8295B34}">
  <dimension ref="A1:T156"/>
  <sheetViews>
    <sheetView topLeftCell="A9" workbookViewId="0">
      <selection activeCell="U40" sqref="U40"/>
    </sheetView>
  </sheetViews>
  <sheetFormatPr defaultRowHeight="15" x14ac:dyDescent="0.25"/>
  <cols>
    <col min="1" max="1" width="4.7109375" customWidth="1"/>
    <col min="2" max="2" width="7" customWidth="1"/>
    <col min="3" max="3" width="8.85546875" customWidth="1"/>
    <col min="4" max="4" width="8.5703125" customWidth="1"/>
    <col min="5" max="5" width="15.42578125" customWidth="1"/>
    <col min="6" max="6" width="17.85546875" customWidth="1"/>
    <col min="8" max="8" width="15.5703125" customWidth="1"/>
    <col min="12" max="12" width="8" customWidth="1"/>
    <col min="19" max="19" width="11.7109375" customWidth="1"/>
  </cols>
  <sheetData>
    <row r="1" spans="1:20" ht="15.75" x14ac:dyDescent="0.25">
      <c r="A1" s="160" t="s">
        <v>212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20" x14ac:dyDescent="0.25">
      <c r="C2" t="s">
        <v>162</v>
      </c>
      <c r="D2" t="s">
        <v>102</v>
      </c>
      <c r="E2" s="78" t="s">
        <v>160</v>
      </c>
      <c r="F2" s="78"/>
      <c r="H2" s="78" t="s">
        <v>161</v>
      </c>
      <c r="I2" s="78"/>
      <c r="J2" s="78"/>
    </row>
    <row r="3" spans="1:20" ht="18.75" x14ac:dyDescent="0.3">
      <c r="A3" t="s">
        <v>0</v>
      </c>
      <c r="B3" t="s">
        <v>1</v>
      </c>
      <c r="C3" t="s">
        <v>9</v>
      </c>
      <c r="D3" t="s">
        <v>59</v>
      </c>
      <c r="E3" s="78" t="s">
        <v>156</v>
      </c>
      <c r="F3" s="78" t="s">
        <v>157</v>
      </c>
      <c r="G3" t="s">
        <v>1</v>
      </c>
      <c r="H3" s="78" t="s">
        <v>156</v>
      </c>
      <c r="I3" s="78" t="s">
        <v>157</v>
      </c>
      <c r="J3" s="78"/>
      <c r="K3" s="159" t="s">
        <v>158</v>
      </c>
      <c r="L3" s="159"/>
      <c r="M3" s="160" t="str">
        <f>indtastning!C4</f>
        <v>Eksempel på fodring af polte</v>
      </c>
      <c r="N3" s="159"/>
      <c r="O3" s="159"/>
      <c r="P3" s="159"/>
      <c r="Q3" s="159"/>
      <c r="R3" s="159"/>
      <c r="S3" s="159"/>
      <c r="T3" s="118"/>
    </row>
    <row r="4" spans="1:20" x14ac:dyDescent="0.25">
      <c r="A4" s="7">
        <v>0</v>
      </c>
      <c r="B4" s="8">
        <f>beregningsark!B11</f>
        <v>6.3</v>
      </c>
      <c r="C4" s="8">
        <f>beregningsark!N11</f>
        <v>9.6999999999999993</v>
      </c>
      <c r="D4" s="8">
        <f>beregningsark!C11</f>
        <v>1.1499999999999999</v>
      </c>
      <c r="E4" s="9">
        <f>beregningsark!U11*1000</f>
        <v>20.62783006638621</v>
      </c>
      <c r="F4" s="9"/>
      <c r="G4" s="8">
        <f>B4</f>
        <v>6.3</v>
      </c>
      <c r="H4" s="8">
        <f>beregningsark!T11</f>
        <v>1.6217700827149604</v>
      </c>
      <c r="I4" s="7"/>
    </row>
    <row r="5" spans="1:20" x14ac:dyDescent="0.25">
      <c r="A5" s="7">
        <v>1</v>
      </c>
      <c r="B5" s="8">
        <f>beregningsark!B12</f>
        <v>6.3206278300663863</v>
      </c>
      <c r="C5" s="8">
        <f>beregningsark!N12</f>
        <v>9.6999999999999993</v>
      </c>
      <c r="D5" s="8">
        <f>beregningsark!C12</f>
        <v>1.1499999999999999</v>
      </c>
      <c r="E5" s="9">
        <f>beregningsark!U12*1000</f>
        <v>30.804376386676292</v>
      </c>
      <c r="F5" s="9">
        <f>beregningsark!V12</f>
        <v>20.627830066386466</v>
      </c>
      <c r="G5" s="8">
        <f t="shared" ref="G5:G68" si="0">B5</f>
        <v>6.3206278300663863</v>
      </c>
      <c r="H5" s="8">
        <f>beregningsark!T12</f>
        <v>1.6220210219432838</v>
      </c>
      <c r="I5" s="7"/>
    </row>
    <row r="6" spans="1:20" x14ac:dyDescent="0.25">
      <c r="A6" s="7">
        <v>2</v>
      </c>
      <c r="B6" s="8">
        <f>beregningsark!B13</f>
        <v>6.3514322064530626</v>
      </c>
      <c r="C6" s="8">
        <f>beregningsark!N13</f>
        <v>9.6999999999999993</v>
      </c>
      <c r="D6" s="8">
        <f>beregningsark!C13</f>
        <v>1.1499999999999999</v>
      </c>
      <c r="E6" s="9">
        <f>beregningsark!U13*1000</f>
        <v>42.678851318103661</v>
      </c>
      <c r="F6" s="9">
        <f>beregningsark!V13</f>
        <v>25.716103226531395</v>
      </c>
      <c r="G6" s="8">
        <f t="shared" si="0"/>
        <v>6.3514322064530626</v>
      </c>
      <c r="H6" s="8">
        <f>beregningsark!T13</f>
        <v>1.6223956855807389</v>
      </c>
      <c r="I6" s="55">
        <f>beregningsark!X13</f>
        <v>1.6219203781615703</v>
      </c>
    </row>
    <row r="7" spans="1:20" x14ac:dyDescent="0.25">
      <c r="A7" s="7">
        <v>3</v>
      </c>
      <c r="B7" s="8">
        <f>beregningsark!B14</f>
        <v>6.3941110577711662</v>
      </c>
      <c r="C7" s="8">
        <f>beregningsark!N14</f>
        <v>9.6999999999999993</v>
      </c>
      <c r="D7" s="8">
        <f>beregningsark!C14</f>
        <v>1.1499999999999999</v>
      </c>
      <c r="E7" s="9">
        <f>beregningsark!U14*1000</f>
        <v>63.453634840438752</v>
      </c>
      <c r="F7" s="9">
        <f>beregningsark!V14</f>
        <v>31.370352590388784</v>
      </c>
      <c r="G7" s="8">
        <f t="shared" si="0"/>
        <v>6.3941110577711662</v>
      </c>
      <c r="H7" s="8">
        <f>beregningsark!T14</f>
        <v>1.6229146289297238</v>
      </c>
      <c r="I7" s="55">
        <f>beregningsark!X14</f>
        <v>1.6221359274833362</v>
      </c>
    </row>
    <row r="8" spans="1:20" x14ac:dyDescent="0.25">
      <c r="A8" s="7">
        <v>4</v>
      </c>
      <c r="B8" s="8">
        <f>beregningsark!B15</f>
        <v>6.457564692611605</v>
      </c>
      <c r="C8" s="8">
        <f>beregningsark!N15</f>
        <v>9.6999999999999993</v>
      </c>
      <c r="D8" s="8">
        <f>beregningsark!C15</f>
        <v>1.1499999999999999</v>
      </c>
      <c r="E8" s="9">
        <f>beregningsark!U15*1000</f>
        <v>88.048615832798475</v>
      </c>
      <c r="F8" s="9">
        <f>beregningsark!V15</f>
        <v>39.391173152901303</v>
      </c>
      <c r="G8" s="8">
        <f t="shared" si="0"/>
        <v>6.457564692611605</v>
      </c>
      <c r="H8" s="8">
        <f>beregningsark!T15</f>
        <v>1.6236858686204592</v>
      </c>
      <c r="I8" s="55">
        <f>beregningsark!X15</f>
        <v>1.6224495220863506</v>
      </c>
    </row>
    <row r="9" spans="1:20" x14ac:dyDescent="0.25">
      <c r="A9" s="7">
        <v>5</v>
      </c>
      <c r="B9" s="8">
        <f>beregningsark!B16</f>
        <v>6.5456133084444037</v>
      </c>
      <c r="C9" s="8">
        <f>beregningsark!N16</f>
        <v>9.6999999999999993</v>
      </c>
      <c r="D9" s="8">
        <f>beregningsark!C16</f>
        <v>1.1499999999999999</v>
      </c>
      <c r="E9" s="9">
        <f>beregningsark!U16*1000</f>
        <v>113.47618854487609</v>
      </c>
      <c r="F9" s="9">
        <f>beregningsark!V16</f>
        <v>49.122661688880775</v>
      </c>
      <c r="G9" s="8">
        <f t="shared" si="0"/>
        <v>6.5456133084444037</v>
      </c>
      <c r="H9" s="8">
        <f>beregningsark!T16</f>
        <v>1.6247554402137798</v>
      </c>
      <c r="I9" s="55">
        <f>beregningsark!X16</f>
        <v>1.6228927334160099</v>
      </c>
    </row>
    <row r="10" spans="1:20" x14ac:dyDescent="0.25">
      <c r="A10" s="7">
        <v>6</v>
      </c>
      <c r="B10" s="8">
        <f>beregningsark!B17</f>
        <v>6.6590894969892798</v>
      </c>
      <c r="C10" s="8">
        <f>beregningsark!N17</f>
        <v>9.6999999999999993</v>
      </c>
      <c r="D10" s="8">
        <f>beregningsark!C17</f>
        <v>1.1499999999999999</v>
      </c>
      <c r="E10" s="9">
        <f>beregningsark!U17*1000</f>
        <v>138.68218260751866</v>
      </c>
      <c r="F10" s="9">
        <f>beregningsark!V17</f>
        <v>59.84824949821332</v>
      </c>
      <c r="G10" s="8">
        <f t="shared" si="0"/>
        <v>6.6590894969892798</v>
      </c>
      <c r="H10" s="8">
        <f>beregningsark!T17</f>
        <v>1.6230796297138717</v>
      </c>
      <c r="I10" s="55">
        <f>beregningsark!X17</f>
        <v>1.6234813690334806</v>
      </c>
    </row>
    <row r="11" spans="1:20" x14ac:dyDescent="0.25">
      <c r="A11" s="13">
        <v>7</v>
      </c>
      <c r="B11" s="56">
        <f>beregningsark!B18</f>
        <v>6.7977716795967984</v>
      </c>
      <c r="C11" s="56">
        <f>beregningsark!N18</f>
        <v>9.6999999999999993</v>
      </c>
      <c r="D11" s="56">
        <f>beregningsark!C18</f>
        <v>1.1499999999999999</v>
      </c>
      <c r="E11" s="63">
        <f>beregningsark!U18*1000</f>
        <v>166.21261626516787</v>
      </c>
      <c r="F11" s="63">
        <f>beregningsark!V18</f>
        <v>71.110239942399801</v>
      </c>
      <c r="G11" s="56">
        <f t="shared" si="0"/>
        <v>6.7977716795967984</v>
      </c>
      <c r="H11" s="56">
        <f>beregningsark!T18</f>
        <v>1.6216990303508643</v>
      </c>
      <c r="I11" s="57">
        <f>beregningsark!X18</f>
        <v>1.6233694420437257</v>
      </c>
    </row>
    <row r="12" spans="1:20" x14ac:dyDescent="0.25">
      <c r="A12" s="7">
        <v>8</v>
      </c>
      <c r="B12" s="8">
        <f>beregningsark!B19</f>
        <v>6.963984295861966</v>
      </c>
      <c r="C12" s="8">
        <f>beregningsark!N19</f>
        <v>9.6999999999999993</v>
      </c>
      <c r="D12" s="8">
        <f>beregningsark!C19</f>
        <v>1.1499999999999999</v>
      </c>
      <c r="E12" s="9">
        <f>beregningsark!U19*1000</f>
        <v>192.54572554858836</v>
      </c>
      <c r="F12" s="9">
        <f>beregningsark!V19</f>
        <v>82.998036982745774</v>
      </c>
      <c r="G12" s="8">
        <f t="shared" si="0"/>
        <v>6.963984295861966</v>
      </c>
      <c r="H12" s="8">
        <f>beregningsark!T19</f>
        <v>1.6196170544989388</v>
      </c>
      <c r="I12" s="55">
        <f>beregningsark!X19</f>
        <v>1.6229512943564379</v>
      </c>
    </row>
    <row r="13" spans="1:20" x14ac:dyDescent="0.25">
      <c r="A13" s="7">
        <v>9</v>
      </c>
      <c r="B13" s="8">
        <f>beregningsark!B20</f>
        <v>7.1565300214105543</v>
      </c>
      <c r="C13" s="8">
        <f>beregningsark!N20</f>
        <v>9.6999999999999993</v>
      </c>
      <c r="D13" s="8">
        <f>beregningsark!C20</f>
        <v>1.1499999999999999</v>
      </c>
      <c r="E13" s="9">
        <f>beregningsark!U20*1000</f>
        <v>216.00378312474646</v>
      </c>
      <c r="F13" s="9">
        <f>beregningsark!V20</f>
        <v>95.1700023789505</v>
      </c>
      <c r="G13" s="8">
        <f t="shared" si="0"/>
        <v>7.1565300214105543</v>
      </c>
      <c r="H13" s="8">
        <f>beregningsark!T20</f>
        <v>1.6260185832799925</v>
      </c>
      <c r="I13" s="55">
        <f>beregningsark!X20</f>
        <v>1.6222017658910401</v>
      </c>
    </row>
    <row r="14" spans="1:20" x14ac:dyDescent="0.25">
      <c r="A14" s="7">
        <v>10</v>
      </c>
      <c r="B14" s="8">
        <f>beregningsark!B21</f>
        <v>7.3725338045353004</v>
      </c>
      <c r="C14" s="8">
        <f>beregningsark!N21</f>
        <v>9.6999999999999993</v>
      </c>
      <c r="D14" s="8">
        <f>beregningsark!C21</f>
        <v>1.1499999999999999</v>
      </c>
      <c r="E14" s="9">
        <f>beregningsark!U21*1000</f>
        <v>245.24504330542874</v>
      </c>
      <c r="F14" s="9">
        <f>beregningsark!V21</f>
        <v>107.25338045353006</v>
      </c>
      <c r="G14" s="8">
        <f t="shared" si="0"/>
        <v>7.3725338045353004</v>
      </c>
      <c r="H14" s="8">
        <f>beregningsark!T21</f>
        <v>1.6204090704582699</v>
      </c>
      <c r="I14" s="55">
        <f>beregningsark!X21</f>
        <v>1.6229704568097079</v>
      </c>
    </row>
    <row r="15" spans="1:20" x14ac:dyDescent="0.25">
      <c r="A15" s="7">
        <v>11</v>
      </c>
      <c r="B15" s="8">
        <f>beregningsark!B22</f>
        <v>7.6177788478407287</v>
      </c>
      <c r="C15" s="8">
        <f>beregningsark!N22</f>
        <v>9.6999999999999993</v>
      </c>
      <c r="D15" s="8">
        <f>beregningsark!C22</f>
        <v>1.1499999999999999</v>
      </c>
      <c r="E15" s="9">
        <f>beregningsark!U22*1000</f>
        <v>266.87083706263172</v>
      </c>
      <c r="F15" s="9">
        <f>beregningsark!V22</f>
        <v>119.79807707642989</v>
      </c>
      <c r="G15" s="8">
        <f t="shared" si="0"/>
        <v>7.6177788478407287</v>
      </c>
      <c r="H15" s="8">
        <f>beregningsark!T22</f>
        <v>1.619216707256327</v>
      </c>
      <c r="I15" s="55">
        <f>beregningsark!X22</f>
        <v>1.6224937703704703</v>
      </c>
    </row>
    <row r="16" spans="1:20" x14ac:dyDescent="0.25">
      <c r="A16" s="7">
        <v>12</v>
      </c>
      <c r="B16" s="8">
        <f>beregningsark!B23</f>
        <v>7.8846496849033603</v>
      </c>
      <c r="C16" s="8">
        <f>beregningsark!N23</f>
        <v>9.6999999999999993</v>
      </c>
      <c r="D16" s="8">
        <f>beregningsark!C23</f>
        <v>1.1499999999999999</v>
      </c>
      <c r="E16" s="9">
        <f>beregningsark!U23*1000</f>
        <v>284.96330541308669</v>
      </c>
      <c r="F16" s="9">
        <f>beregningsark!V23</f>
        <v>132.05414040861339</v>
      </c>
      <c r="G16" s="8">
        <f t="shared" si="0"/>
        <v>7.8846496849033603</v>
      </c>
      <c r="H16" s="8">
        <f>beregningsark!T23</f>
        <v>1.6182533221784898</v>
      </c>
      <c r="I16" s="55">
        <f>beregningsark!X23</f>
        <v>1.621941880205275</v>
      </c>
    </row>
    <row r="17" spans="1:9" x14ac:dyDescent="0.25">
      <c r="A17" s="7">
        <v>13</v>
      </c>
      <c r="B17" s="8">
        <f>beregningsark!B24</f>
        <v>8.1696129903164465</v>
      </c>
      <c r="C17" s="8">
        <f>beregningsark!N24</f>
        <v>9.6999999999999993</v>
      </c>
      <c r="D17" s="8">
        <f>beregningsark!C24</f>
        <v>1.1499999999999999</v>
      </c>
      <c r="E17" s="9">
        <f>beregningsark!U24*1000</f>
        <v>301.19589493387883</v>
      </c>
      <c r="F17" s="9">
        <f>beregningsark!V24</f>
        <v>143.81638387049588</v>
      </c>
      <c r="G17" s="8">
        <f t="shared" si="0"/>
        <v>8.1696129903164465</v>
      </c>
      <c r="H17" s="8">
        <f>beregningsark!T24</f>
        <v>1.6174736096116775</v>
      </c>
      <c r="I17" s="55">
        <f>beregningsark!X24</f>
        <v>1.6213796763197841</v>
      </c>
    </row>
    <row r="18" spans="1:9" x14ac:dyDescent="0.25">
      <c r="A18" s="13">
        <v>14</v>
      </c>
      <c r="B18" s="56">
        <f>beregningsark!B25</f>
        <v>8.4708088852503245</v>
      </c>
      <c r="C18" s="56">
        <f>beregningsark!N25</f>
        <v>10.1</v>
      </c>
      <c r="D18" s="56">
        <f>beregningsark!C25</f>
        <v>1.0900000000000001</v>
      </c>
      <c r="E18" s="63">
        <f>beregningsark!U25*1000</f>
        <v>306.87272052926352</v>
      </c>
      <c r="F18" s="63">
        <f>beregningsark!V25</f>
        <v>155.05777751788034</v>
      </c>
      <c r="G18" s="56">
        <f t="shared" si="0"/>
        <v>8.4708088852503245</v>
      </c>
      <c r="H18" s="56">
        <f>beregningsark!T25</f>
        <v>1.5926889529033346</v>
      </c>
      <c r="I18" s="57">
        <f>beregningsark!X25</f>
        <v>1.6208377164697889</v>
      </c>
    </row>
    <row r="19" spans="1:9" x14ac:dyDescent="0.25">
      <c r="A19" s="7">
        <v>15</v>
      </c>
      <c r="B19" s="8">
        <f>beregningsark!B26</f>
        <v>8.7776816057795877</v>
      </c>
      <c r="C19" s="8">
        <f>beregningsark!N26</f>
        <v>10.1</v>
      </c>
      <c r="D19" s="8">
        <f>beregningsark!C26</f>
        <v>1.0900000000000001</v>
      </c>
      <c r="E19" s="9">
        <f>beregningsark!U26*1000</f>
        <v>317.75630448098292</v>
      </c>
      <c r="F19" s="9">
        <f>beregningsark!V26</f>
        <v>165.17877371863918</v>
      </c>
      <c r="G19" s="8">
        <f t="shared" si="0"/>
        <v>8.7776816057795877</v>
      </c>
      <c r="H19" s="8">
        <f>beregningsark!T26</f>
        <v>1.5920906731444682</v>
      </c>
      <c r="I19" s="55">
        <f>beregningsark!X26</f>
        <v>1.6173513574335745</v>
      </c>
    </row>
    <row r="20" spans="1:9" x14ac:dyDescent="0.25">
      <c r="A20" s="7">
        <v>16</v>
      </c>
      <c r="B20" s="8">
        <f>beregningsark!B27</f>
        <v>9.0954379102605714</v>
      </c>
      <c r="C20" s="8">
        <f>beregningsark!N27</f>
        <v>10.1</v>
      </c>
      <c r="D20" s="8">
        <f>beregningsark!C27</f>
        <v>1.0900000000000001</v>
      </c>
      <c r="E20" s="9">
        <f>beregningsark!U27*1000</f>
        <v>328.9849482417855</v>
      </c>
      <c r="F20" s="9">
        <f>beregningsark!V27</f>
        <v>174.71486939128573</v>
      </c>
      <c r="G20" s="8">
        <f t="shared" si="0"/>
        <v>9.0954379102605714</v>
      </c>
      <c r="H20" s="8">
        <f>beregningsark!T27</f>
        <v>1.5915850500155109</v>
      </c>
      <c r="I20" s="55">
        <f>beregningsark!X27</f>
        <v>1.614479985596301</v>
      </c>
    </row>
    <row r="21" spans="1:9" x14ac:dyDescent="0.25">
      <c r="A21" s="7">
        <v>17</v>
      </c>
      <c r="B21" s="8">
        <f>beregningsark!B28</f>
        <v>9.4244228585023571</v>
      </c>
      <c r="C21" s="8">
        <f>beregningsark!N28</f>
        <v>10.1</v>
      </c>
      <c r="D21" s="8">
        <f>beregningsark!C28</f>
        <v>1.0900000000000001</v>
      </c>
      <c r="E21" s="9">
        <f>beregningsark!U28*1000</f>
        <v>340.56586932019303</v>
      </c>
      <c r="F21" s="9">
        <f>beregningsark!V28</f>
        <v>183.78957991190336</v>
      </c>
      <c r="G21" s="8">
        <f t="shared" si="0"/>
        <v>9.4244228585023571</v>
      </c>
      <c r="H21" s="8">
        <f>beregningsark!T28</f>
        <v>1.5911742875413601</v>
      </c>
      <c r="I21" s="55">
        <f>beregningsark!X28</f>
        <v>1.6120692718299012</v>
      </c>
    </row>
    <row r="22" spans="1:9" x14ac:dyDescent="0.25">
      <c r="A22" s="7">
        <v>18</v>
      </c>
      <c r="B22" s="8">
        <f>beregningsark!B29</f>
        <v>9.7649887278225496</v>
      </c>
      <c r="C22" s="8">
        <f>beregningsark!N29</f>
        <v>10.1</v>
      </c>
      <c r="D22" s="8">
        <f>beregningsark!C29</f>
        <v>1.0900000000000001</v>
      </c>
      <c r="E22" s="9">
        <f>beregningsark!U29*1000</f>
        <v>352.27313885059647</v>
      </c>
      <c r="F22" s="9">
        <f>beregningsark!V29</f>
        <v>192.49937376791942</v>
      </c>
      <c r="G22" s="8">
        <f t="shared" si="0"/>
        <v>9.7649887278225496</v>
      </c>
      <c r="H22" s="8">
        <f>beregningsark!T29</f>
        <v>1.5919128163285072</v>
      </c>
      <c r="I22" s="55">
        <f>beregningsark!X29</f>
        <v>1.6100155512992922</v>
      </c>
    </row>
    <row r="23" spans="1:9" x14ac:dyDescent="0.25">
      <c r="A23" s="7">
        <v>19</v>
      </c>
      <c r="B23" s="8">
        <f>beregningsark!B30</f>
        <v>10.117261866673147</v>
      </c>
      <c r="C23" s="8">
        <f>beregningsark!N30</f>
        <v>10.1</v>
      </c>
      <c r="D23" s="8">
        <f>beregningsark!C30</f>
        <v>1.0900000000000001</v>
      </c>
      <c r="E23" s="9">
        <f>beregningsark!U30*1000</f>
        <v>364.42839189166568</v>
      </c>
      <c r="F23" s="9">
        <f>beregningsark!V30</f>
        <v>200.90851929858667</v>
      </c>
      <c r="G23" s="8">
        <f t="shared" si="0"/>
        <v>10.117261866673147</v>
      </c>
      <c r="H23" s="8">
        <f>beregningsark!T30</f>
        <v>1.5927558235095196</v>
      </c>
      <c r="I23" s="55">
        <f>beregningsark!X30</f>
        <v>1.6083449540249435</v>
      </c>
    </row>
    <row r="24" spans="1:9" x14ac:dyDescent="0.25">
      <c r="A24" s="7">
        <v>20</v>
      </c>
      <c r="B24" s="8">
        <f>beregningsark!B31</f>
        <v>10.481690258564813</v>
      </c>
      <c r="C24" s="8">
        <f>beregningsark!N31</f>
        <v>10.1</v>
      </c>
      <c r="D24" s="8">
        <f>beregningsark!C31</f>
        <v>1.0900000000000001</v>
      </c>
      <c r="E24" s="9">
        <f>beregningsark!U31*1000</f>
        <v>376.92290256669213</v>
      </c>
      <c r="F24" s="9">
        <f>beregningsark!V31</f>
        <v>209.08451292824066</v>
      </c>
      <c r="G24" s="8">
        <f t="shared" si="0"/>
        <v>10.481690258564813</v>
      </c>
      <c r="H24" s="8">
        <f>beregningsark!T31</f>
        <v>1.5947670726090655</v>
      </c>
      <c r="I24" s="55">
        <f>beregningsark!X31</f>
        <v>1.6069863833481484</v>
      </c>
    </row>
    <row r="25" spans="1:9" x14ac:dyDescent="0.25">
      <c r="A25" s="13">
        <v>21</v>
      </c>
      <c r="B25" s="56">
        <f>beregningsark!B32</f>
        <v>10.858613161131505</v>
      </c>
      <c r="C25" s="56">
        <f>beregningsark!N32</f>
        <v>10.1</v>
      </c>
      <c r="D25" s="56">
        <f>beregningsark!C32</f>
        <v>1.0900000000000001</v>
      </c>
      <c r="E25" s="63">
        <f>beregningsark!U32*1000</f>
        <v>390.30841349221856</v>
      </c>
      <c r="F25" s="63">
        <f>beregningsark!V32</f>
        <v>217.07681719673832</v>
      </c>
      <c r="G25" s="56">
        <f t="shared" si="0"/>
        <v>10.858613161131505</v>
      </c>
      <c r="H25" s="56">
        <f>beregningsark!T32</f>
        <v>1.5947683532206796</v>
      </c>
      <c r="I25" s="57">
        <f>beregningsark!X32</f>
        <v>1.6059760457940848</v>
      </c>
    </row>
    <row r="26" spans="1:9" x14ac:dyDescent="0.25">
      <c r="A26" s="7">
        <v>22</v>
      </c>
      <c r="B26" s="8">
        <f>beregningsark!B33</f>
        <v>11.248921574623724</v>
      </c>
      <c r="C26" s="8">
        <f>beregningsark!N33</f>
        <v>10.1</v>
      </c>
      <c r="D26" s="8">
        <f>beregningsark!C33</f>
        <v>1.0900000000000001</v>
      </c>
      <c r="E26" s="9">
        <f>beregningsark!U33*1000</f>
        <v>403.85728620190781</v>
      </c>
      <c r="F26" s="9">
        <f>beregningsark!V33</f>
        <v>224.95098066471473</v>
      </c>
      <c r="G26" s="8">
        <f t="shared" si="0"/>
        <v>11.248921574623724</v>
      </c>
      <c r="H26" s="8">
        <f>beregningsark!T33</f>
        <v>1.5959485940456157</v>
      </c>
      <c r="I26" s="55">
        <f>beregningsark!X33</f>
        <v>1.605092124592006</v>
      </c>
    </row>
    <row r="27" spans="1:9" x14ac:dyDescent="0.25">
      <c r="A27" s="7">
        <v>23</v>
      </c>
      <c r="B27" s="8">
        <f>beregningsark!B34</f>
        <v>11.652778860825631</v>
      </c>
      <c r="C27" s="8">
        <f>beregningsark!N34</f>
        <v>10.1</v>
      </c>
      <c r="D27" s="8">
        <f>beregningsark!C34</f>
        <v>1.0900000000000001</v>
      </c>
      <c r="E27" s="9">
        <f>beregningsark!U34*1000</f>
        <v>417.82053040951843</v>
      </c>
      <c r="F27" s="9">
        <f>beregningsark!V34</f>
        <v>232.7295156880709</v>
      </c>
      <c r="G27" s="8">
        <f t="shared" si="0"/>
        <v>11.652778860825631</v>
      </c>
      <c r="H27" s="8">
        <f>beregningsark!T34</f>
        <v>1.597247775459903</v>
      </c>
      <c r="I27" s="55">
        <f>beregningsark!X34</f>
        <v>1.604402262087169</v>
      </c>
    </row>
    <row r="28" spans="1:9" x14ac:dyDescent="0.25">
      <c r="A28" s="7">
        <v>24</v>
      </c>
      <c r="B28" s="8">
        <f>beregningsark!B35</f>
        <v>12.070599391235149</v>
      </c>
      <c r="C28" s="8">
        <f>beregningsark!N35</f>
        <v>10.1</v>
      </c>
      <c r="D28" s="8">
        <f>beregningsark!C35</f>
        <v>1.0900000000000001</v>
      </c>
      <c r="E28" s="9">
        <f>beregningsark!U35*1000</f>
        <v>431.91504976841969</v>
      </c>
      <c r="F28" s="9">
        <f>beregningsark!V35</f>
        <v>240.44164130146453</v>
      </c>
      <c r="G28" s="8">
        <f t="shared" si="0"/>
        <v>12.070599391235149</v>
      </c>
      <c r="H28" s="8">
        <f>beregningsark!T35</f>
        <v>1.5997466175481874</v>
      </c>
      <c r="I28" s="55">
        <f>beregningsark!X35</f>
        <v>1.6038842411339294</v>
      </c>
    </row>
    <row r="29" spans="1:9" x14ac:dyDescent="0.25">
      <c r="A29" s="7">
        <v>25</v>
      </c>
      <c r="B29" s="8">
        <f>beregningsark!B36</f>
        <v>12.502514441003569</v>
      </c>
      <c r="C29" s="8">
        <f>beregningsark!N36</f>
        <v>10.1</v>
      </c>
      <c r="D29" s="8">
        <f>beregningsark!C36</f>
        <v>1.0900000000000001</v>
      </c>
      <c r="E29" s="9">
        <f>beregningsark!U36*1000</f>
        <v>446.71075247093756</v>
      </c>
      <c r="F29" s="9">
        <f>beregningsark!V36</f>
        <v>248.1005776401428</v>
      </c>
      <c r="G29" s="8">
        <f t="shared" si="0"/>
        <v>12.502514441003569</v>
      </c>
      <c r="H29" s="8">
        <f>beregningsark!T36</f>
        <v>1.6012940350789295</v>
      </c>
      <c r="I29" s="55">
        <f>beregningsark!X36</f>
        <v>1.6035961157431773</v>
      </c>
    </row>
    <row r="30" spans="1:9" x14ac:dyDescent="0.25">
      <c r="A30" s="7">
        <v>26</v>
      </c>
      <c r="B30" s="8">
        <f>beregningsark!B37</f>
        <v>12.949225193474508</v>
      </c>
      <c r="C30" s="8">
        <f>beregningsark!N37</f>
        <v>10.1</v>
      </c>
      <c r="D30" s="8">
        <f>beregningsark!C37</f>
        <v>1.0900000000000001</v>
      </c>
      <c r="E30" s="9">
        <f>beregningsark!U37*1000</f>
        <v>462.57124795553159</v>
      </c>
      <c r="F30" s="9">
        <f>beregningsark!V37</f>
        <v>255.73943051825032</v>
      </c>
      <c r="G30" s="8">
        <f t="shared" si="0"/>
        <v>12.949225193474508</v>
      </c>
      <c r="H30" s="8">
        <f>beregningsark!T37</f>
        <v>1.6007940816202189</v>
      </c>
      <c r="I30" s="55">
        <f>beregningsark!X37</f>
        <v>1.6034414564925348</v>
      </c>
    </row>
    <row r="31" spans="1:9" x14ac:dyDescent="0.25">
      <c r="A31" s="7">
        <v>27</v>
      </c>
      <c r="B31" s="8">
        <f>beregningsark!B38</f>
        <v>13.41179644143004</v>
      </c>
      <c r="C31" s="8">
        <f>beregningsark!N38</f>
        <v>10.1</v>
      </c>
      <c r="D31" s="8">
        <f>beregningsark!C38</f>
        <v>1.0900000000000001</v>
      </c>
      <c r="E31" s="9">
        <f>beregningsark!U38*1000</f>
        <v>477.3158742647617</v>
      </c>
      <c r="F31" s="9">
        <f>beregningsark!V38</f>
        <v>263.39986820111261</v>
      </c>
      <c r="G31" s="8">
        <f t="shared" si="0"/>
        <v>13.41179644143004</v>
      </c>
      <c r="H31" s="8">
        <f>beregningsark!T38</f>
        <v>1.6058746123372221</v>
      </c>
      <c r="I31" s="55">
        <f>beregningsark!X38</f>
        <v>1.6032692637830583</v>
      </c>
    </row>
    <row r="32" spans="1:9" x14ac:dyDescent="0.25">
      <c r="A32" s="13">
        <v>28</v>
      </c>
      <c r="B32" s="56">
        <f>beregningsark!B39</f>
        <v>13.889112315694801</v>
      </c>
      <c r="C32" s="56">
        <f>beregningsark!N39</f>
        <v>10.9</v>
      </c>
      <c r="D32" s="56">
        <f>beregningsark!C39</f>
        <v>1.07</v>
      </c>
      <c r="E32" s="63">
        <f>beregningsark!U39*1000</f>
        <v>497.00531893616323</v>
      </c>
      <c r="F32" s="63">
        <f>beregningsark!V39</f>
        <v>271.03972556052861</v>
      </c>
      <c r="G32" s="56">
        <f t="shared" si="0"/>
        <v>13.889112315694801</v>
      </c>
      <c r="H32" s="56">
        <f>beregningsark!T39</f>
        <v>1.5678082674575942</v>
      </c>
      <c r="I32" s="57">
        <f>beregningsark!X39</f>
        <v>1.603433126718691</v>
      </c>
    </row>
    <row r="33" spans="1:9" x14ac:dyDescent="0.25">
      <c r="A33" s="7">
        <v>29</v>
      </c>
      <c r="B33" s="8">
        <f>beregningsark!B40</f>
        <v>14.386117634630963</v>
      </c>
      <c r="C33" s="8">
        <f>beregningsark!N40</f>
        <v>10.9</v>
      </c>
      <c r="D33" s="8">
        <f>beregningsark!C40</f>
        <v>1.07</v>
      </c>
      <c r="E33" s="9">
        <f>beregningsark!U40*1000</f>
        <v>512.77217291516047</v>
      </c>
      <c r="F33" s="9">
        <f>beregningsark!V40</f>
        <v>278.83164257348147</v>
      </c>
      <c r="G33" s="8">
        <f t="shared" si="0"/>
        <v>14.386117634630963</v>
      </c>
      <c r="H33" s="8">
        <f>beregningsark!T40</f>
        <v>1.5732293344581538</v>
      </c>
      <c r="I33" s="55">
        <f>beregningsark!X40</f>
        <v>1.601243479555597</v>
      </c>
    </row>
    <row r="34" spans="1:9" x14ac:dyDescent="0.25">
      <c r="A34" s="7">
        <v>30</v>
      </c>
      <c r="B34" s="8">
        <f>beregningsark!B41</f>
        <v>14.898889807546123</v>
      </c>
      <c r="C34" s="8">
        <f>beregningsark!N41</f>
        <v>10.9</v>
      </c>
      <c r="D34" s="8">
        <f>beregningsark!C41</f>
        <v>1.07</v>
      </c>
      <c r="E34" s="9">
        <f>beregningsark!U41*1000</f>
        <v>528.8704304298418</v>
      </c>
      <c r="F34" s="9">
        <f>beregningsark!V41</f>
        <v>286.62966025153742</v>
      </c>
      <c r="G34" s="8">
        <f t="shared" si="0"/>
        <v>14.898889807546123</v>
      </c>
      <c r="H34" s="8">
        <f>beregningsark!T41</f>
        <v>1.5789266322274822</v>
      </c>
      <c r="I34" s="55">
        <f>beregningsark!X41</f>
        <v>1.5995729297084098</v>
      </c>
    </row>
    <row r="35" spans="1:9" x14ac:dyDescent="0.25">
      <c r="A35" s="7">
        <v>31</v>
      </c>
      <c r="B35" s="8">
        <f>beregningsark!B42</f>
        <v>15.427760237975965</v>
      </c>
      <c r="C35" s="8">
        <f>beregningsark!N42</f>
        <v>10.9</v>
      </c>
      <c r="D35" s="8">
        <f>beregningsark!C42</f>
        <v>1.07</v>
      </c>
      <c r="E35" s="9">
        <f>beregningsark!U42*1000</f>
        <v>544.9994680631163</v>
      </c>
      <c r="F35" s="9">
        <f>beregningsark!V42</f>
        <v>294.44387864438602</v>
      </c>
      <c r="G35" s="8">
        <f t="shared" si="0"/>
        <v>15.427760237975965</v>
      </c>
      <c r="H35" s="8">
        <f>beregningsark!T42</f>
        <v>1.5857666623145454</v>
      </c>
      <c r="I35" s="55">
        <f>beregningsark!X42</f>
        <v>1.5983766651319045</v>
      </c>
    </row>
    <row r="36" spans="1:9" x14ac:dyDescent="0.25">
      <c r="A36" s="7">
        <v>32</v>
      </c>
      <c r="B36" s="8">
        <f>beregningsark!B43</f>
        <v>15.972759706039081</v>
      </c>
      <c r="C36" s="8">
        <f>beregningsark!N43</f>
        <v>10.9</v>
      </c>
      <c r="D36" s="8">
        <f>beregningsark!C43</f>
        <v>1.07</v>
      </c>
      <c r="E36" s="9">
        <f>beregningsark!U43*1000</f>
        <v>561.4629756243952</v>
      </c>
      <c r="F36" s="9">
        <f>beregningsark!V43</f>
        <v>302.27374081372125</v>
      </c>
      <c r="G36" s="8">
        <f t="shared" si="0"/>
        <v>15.972759706039081</v>
      </c>
      <c r="H36" s="8">
        <f>beregningsark!T43</f>
        <v>1.5927841274367414</v>
      </c>
      <c r="I36" s="55">
        <f>beregningsark!X43</f>
        <v>1.5976661703985926</v>
      </c>
    </row>
    <row r="37" spans="1:9" x14ac:dyDescent="0.25">
      <c r="A37" s="7">
        <v>33</v>
      </c>
      <c r="B37" s="8">
        <f>beregningsark!B44</f>
        <v>16.534222681663476</v>
      </c>
      <c r="C37" s="8">
        <f>beregningsark!N44</f>
        <v>10.9</v>
      </c>
      <c r="D37" s="8">
        <f>beregningsark!C44</f>
        <v>1.07</v>
      </c>
      <c r="E37" s="9">
        <f>beregningsark!U44*1000</f>
        <v>578.25803388354302</v>
      </c>
      <c r="F37" s="9">
        <f>beregningsark!V44</f>
        <v>310.12796005040832</v>
      </c>
      <c r="G37" s="8">
        <f t="shared" si="0"/>
        <v>16.534222681663476</v>
      </c>
      <c r="H37" s="8">
        <f>beregningsark!T44</f>
        <v>1.5999847774897025</v>
      </c>
      <c r="I37" s="55">
        <f>beregningsark!X44</f>
        <v>1.5973983350725747</v>
      </c>
    </row>
    <row r="38" spans="1:9" x14ac:dyDescent="0.25">
      <c r="A38" s="7">
        <v>34</v>
      </c>
      <c r="B38" s="8">
        <f>beregningsark!B45</f>
        <v>17.112480715547019</v>
      </c>
      <c r="C38" s="8">
        <f>beregningsark!N45</f>
        <v>10.9</v>
      </c>
      <c r="D38" s="8">
        <f>beregningsark!C45</f>
        <v>1.07</v>
      </c>
      <c r="E38" s="9">
        <f>beregningsark!U45*1000</f>
        <v>595.38107856493116</v>
      </c>
      <c r="F38" s="9">
        <f>beregningsark!V45</f>
        <v>318.01413869255936</v>
      </c>
      <c r="G38" s="8">
        <f t="shared" si="0"/>
        <v>17.112480715547019</v>
      </c>
      <c r="H38" s="8">
        <f>beregningsark!T45</f>
        <v>1.6073742084873821</v>
      </c>
      <c r="I38" s="55">
        <f>beregningsark!X45</f>
        <v>1.5975366595835012</v>
      </c>
    </row>
    <row r="39" spans="1:9" x14ac:dyDescent="0.25">
      <c r="A39" s="13">
        <v>35</v>
      </c>
      <c r="B39" s="56">
        <f>beregningsark!B46</f>
        <v>17.707861794111949</v>
      </c>
      <c r="C39" s="56">
        <f>beregningsark!N46</f>
        <v>10.9</v>
      </c>
      <c r="D39" s="56">
        <f>beregningsark!C46</f>
        <v>1.07</v>
      </c>
      <c r="E39" s="63">
        <f>beregningsark!U46*1000</f>
        <v>612.82787693571345</v>
      </c>
      <c r="F39" s="63">
        <f>beregningsark!V46</f>
        <v>325.93890840319852</v>
      </c>
      <c r="G39" s="56">
        <f t="shared" si="0"/>
        <v>17.707861794111949</v>
      </c>
      <c r="H39" s="56">
        <f>beregningsark!T46</f>
        <v>1.6149578774968179</v>
      </c>
      <c r="I39" s="57">
        <f>beregningsark!X46</f>
        <v>1.5980500853755153</v>
      </c>
    </row>
    <row r="40" spans="1:9" x14ac:dyDescent="0.25">
      <c r="A40" s="7">
        <v>36</v>
      </c>
      <c r="B40" s="8">
        <f>beregningsark!B47</f>
        <v>18.320689671047663</v>
      </c>
      <c r="C40" s="8">
        <f>beregningsark!N47</f>
        <v>10.9</v>
      </c>
      <c r="D40" s="8">
        <f>beregningsark!C47</f>
        <v>1.07</v>
      </c>
      <c r="E40" s="9">
        <f>beregningsark!U47*1000</f>
        <v>630.59350620061821</v>
      </c>
      <c r="F40" s="9">
        <f>beregningsark!V47</f>
        <v>333.90804641799065</v>
      </c>
      <c r="G40" s="8">
        <f t="shared" si="0"/>
        <v>18.320689671047663</v>
      </c>
      <c r="H40" s="8">
        <f>beregningsark!T47</f>
        <v>1.6227411139865302</v>
      </c>
      <c r="I40" s="55">
        <f>beregningsark!X47</f>
        <v>1.5989120630683862</v>
      </c>
    </row>
    <row r="41" spans="1:9" x14ac:dyDescent="0.25">
      <c r="A41" s="7">
        <v>37</v>
      </c>
      <c r="B41" s="8">
        <f>beregningsark!B48</f>
        <v>18.951283177248282</v>
      </c>
      <c r="C41" s="8">
        <f>beregningsark!N48</f>
        <v>10.9</v>
      </c>
      <c r="D41" s="8">
        <f>beregningsark!C48</f>
        <v>1.07</v>
      </c>
      <c r="E41" s="9">
        <f>beregningsark!U48*1000</f>
        <v>648.67233381660037</v>
      </c>
      <c r="F41" s="9">
        <f>beregningsark!V48</f>
        <v>341.92657235806166</v>
      </c>
      <c r="G41" s="8">
        <f t="shared" si="0"/>
        <v>18.951283177248282</v>
      </c>
      <c r="H41" s="8">
        <f>beregningsark!T48</f>
        <v>1.6307291282063525</v>
      </c>
      <c r="I41" s="55">
        <f>beregningsark!X48</f>
        <v>1.6000998038340759</v>
      </c>
    </row>
    <row r="42" spans="1:9" x14ac:dyDescent="0.25">
      <c r="A42" s="7">
        <v>38</v>
      </c>
      <c r="B42" s="8">
        <f>beregningsark!B49</f>
        <v>19.599955511064881</v>
      </c>
      <c r="C42" s="8">
        <f>beregningsark!N49</f>
        <v>10.9</v>
      </c>
      <c r="D42" s="8">
        <f>beregningsark!C49</f>
        <v>1.07</v>
      </c>
      <c r="E42" s="9">
        <f>beregningsark!U49*1000</f>
        <v>667.05799985327667</v>
      </c>
      <c r="F42" s="9">
        <f>beregningsark!V49</f>
        <v>349.99882923854949</v>
      </c>
      <c r="G42" s="8">
        <f t="shared" si="0"/>
        <v>19.599955511064881</v>
      </c>
      <c r="H42" s="8">
        <f>beregningsark!T49</f>
        <v>1.638927017094671</v>
      </c>
      <c r="I42" s="55">
        <f>beregningsark!X49</f>
        <v>1.6015936731411771</v>
      </c>
    </row>
    <row r="43" spans="1:9" x14ac:dyDescent="0.25">
      <c r="A43" s="7">
        <v>39</v>
      </c>
      <c r="B43" s="8">
        <f>beregningsark!B50</f>
        <v>20.267013510918158</v>
      </c>
      <c r="C43" s="8">
        <f>beregningsark!N50</f>
        <v>10.9</v>
      </c>
      <c r="D43" s="8">
        <f>beregningsark!C50</f>
        <v>1.07</v>
      </c>
      <c r="E43" s="9">
        <f>beregningsark!U50*1000</f>
        <v>685.25093231037897</v>
      </c>
      <c r="F43" s="9">
        <f>beregningsark!V50</f>
        <v>358.12855156200402</v>
      </c>
      <c r="G43" s="8">
        <f t="shared" si="0"/>
        <v>20.267013510918158</v>
      </c>
      <c r="H43" s="8">
        <f>beregningsark!T50</f>
        <v>1.6473397681148991</v>
      </c>
      <c r="I43" s="55">
        <f>beregningsark!X50</f>
        <v>1.6033766960992335</v>
      </c>
    </row>
    <row r="44" spans="1:9" x14ac:dyDescent="0.25">
      <c r="A44" s="7">
        <v>40</v>
      </c>
      <c r="B44" s="8">
        <f>beregningsark!B51</f>
        <v>20.952264443228536</v>
      </c>
      <c r="C44" s="8">
        <f>beregningsark!N51</f>
        <v>10.9</v>
      </c>
      <c r="D44" s="8">
        <f>beregningsark!C51</f>
        <v>1.07</v>
      </c>
      <c r="E44" s="9">
        <f>beregningsark!U51*1000</f>
        <v>702.90521134783967</v>
      </c>
      <c r="F44" s="9">
        <f>beregningsark!V51</f>
        <v>366.30661108071337</v>
      </c>
      <c r="G44" s="8">
        <f t="shared" si="0"/>
        <v>20.952264443228536</v>
      </c>
      <c r="H44" s="8">
        <f>beregningsark!T51</f>
        <v>1.655966904136863</v>
      </c>
      <c r="I44" s="55">
        <f>beregningsark!X51</f>
        <v>1.605432742535106</v>
      </c>
    </row>
    <row r="45" spans="1:9" x14ac:dyDescent="0.25">
      <c r="A45" s="7">
        <v>41</v>
      </c>
      <c r="B45" s="8">
        <f>beregningsark!B52</f>
        <v>21.655169654576376</v>
      </c>
      <c r="C45" s="8">
        <f>beregningsark!N52</f>
        <v>10.9</v>
      </c>
      <c r="D45" s="8">
        <f>beregningsark!C52</f>
        <v>1.07</v>
      </c>
      <c r="E45" s="9">
        <f>beregningsark!U52*1000</f>
        <v>720.70618228213971</v>
      </c>
      <c r="F45" s="9">
        <f>beregningsark!V52</f>
        <v>374.51633303844818</v>
      </c>
      <c r="G45" s="8">
        <f t="shared" si="0"/>
        <v>21.655169654576376</v>
      </c>
      <c r="H45" s="8">
        <f>beregningsark!T52</f>
        <v>1.6648041204488124</v>
      </c>
      <c r="I45" s="55">
        <f>beregningsark!X52</f>
        <v>1.6077460172393281</v>
      </c>
    </row>
    <row r="46" spans="1:9" x14ac:dyDescent="0.25">
      <c r="A46" s="13">
        <v>42</v>
      </c>
      <c r="B46" s="56">
        <f>beregningsark!B53</f>
        <v>22.375875836858516</v>
      </c>
      <c r="C46" s="56">
        <f>beregningsark!N53</f>
        <v>10.9</v>
      </c>
      <c r="D46" s="56">
        <f>beregningsark!C53</f>
        <v>1.07</v>
      </c>
      <c r="E46" s="63">
        <f>beregningsark!U53*1000</f>
        <v>746.09953223488935</v>
      </c>
      <c r="F46" s="63">
        <f>beregningsark!V53</f>
        <v>382.75894849663126</v>
      </c>
      <c r="G46" s="56">
        <f t="shared" si="0"/>
        <v>22.375875836858516</v>
      </c>
      <c r="H46" s="56">
        <f>beregningsark!T53</f>
        <v>1.6738544841170346</v>
      </c>
      <c r="I46" s="57">
        <f>beregningsark!X53</f>
        <v>1.6103040195621681</v>
      </c>
    </row>
    <row r="47" spans="1:9" x14ac:dyDescent="0.25">
      <c r="A47" s="7">
        <v>43</v>
      </c>
      <c r="B47" s="8">
        <f>beregningsark!B54</f>
        <v>23.121975369093406</v>
      </c>
      <c r="C47" s="8">
        <f>beregningsark!N54</f>
        <v>10.9</v>
      </c>
      <c r="D47" s="8">
        <f>beregningsark!C54</f>
        <v>1.07</v>
      </c>
      <c r="E47" s="9">
        <f>beregningsark!U54*1000</f>
        <v>764.51769785344914</v>
      </c>
      <c r="F47" s="9">
        <f>beregningsark!V54</f>
        <v>391.20872951380011</v>
      </c>
      <c r="G47" s="8">
        <f t="shared" si="0"/>
        <v>23.121975369093406</v>
      </c>
      <c r="H47" s="8">
        <f>beregningsark!T54</f>
        <v>1.6832020616953645</v>
      </c>
      <c r="I47" s="55">
        <f>beregningsark!X54</f>
        <v>1.6131226523824735</v>
      </c>
    </row>
    <row r="48" spans="1:9" x14ac:dyDescent="0.25">
      <c r="A48" s="7">
        <v>44</v>
      </c>
      <c r="B48" s="8">
        <f>beregningsark!B55</f>
        <v>23.886493066946855</v>
      </c>
      <c r="C48" s="8">
        <f>beregningsark!N55</f>
        <v>10.9</v>
      </c>
      <c r="D48" s="8">
        <f>beregningsark!C55</f>
        <v>1.07</v>
      </c>
      <c r="E48" s="9">
        <f>beregningsark!U55*1000</f>
        <v>783.03794100231187</v>
      </c>
      <c r="F48" s="9">
        <f>beregningsark!V55</f>
        <v>399.69302424879214</v>
      </c>
      <c r="G48" s="8">
        <f t="shared" si="0"/>
        <v>23.886493066946855</v>
      </c>
      <c r="H48" s="8">
        <f>beregningsark!T55</f>
        <v>1.6927730338255604</v>
      </c>
      <c r="I48" s="55">
        <f>beregningsark!X55</f>
        <v>1.6161691351844096</v>
      </c>
    </row>
    <row r="49" spans="1:10" x14ac:dyDescent="0.25">
      <c r="A49" s="7">
        <v>45</v>
      </c>
      <c r="B49" s="8">
        <f>beregningsark!B56</f>
        <v>24.669531007949168</v>
      </c>
      <c r="C49" s="8">
        <f>beregningsark!N56</f>
        <v>10.9</v>
      </c>
      <c r="D49" s="8">
        <f>beregningsark!C56</f>
        <v>1.07</v>
      </c>
      <c r="E49" s="9">
        <f>beregningsark!U56*1000</f>
        <v>801.64249849664975</v>
      </c>
      <c r="F49" s="9">
        <f>beregningsark!V56</f>
        <v>408.21180017664813</v>
      </c>
      <c r="G49" s="8">
        <f t="shared" si="0"/>
        <v>24.669531007949168</v>
      </c>
      <c r="H49" s="8">
        <f>beregningsark!T56</f>
        <v>1.7025699670460184</v>
      </c>
      <c r="I49" s="55">
        <f>beregningsark!X56</f>
        <v>1.619434529332946</v>
      </c>
    </row>
    <row r="50" spans="1:10" x14ac:dyDescent="0.25">
      <c r="A50" s="7">
        <v>46</v>
      </c>
      <c r="B50" s="8">
        <f>beregningsark!B57</f>
        <v>25.471173506445819</v>
      </c>
      <c r="C50" s="8">
        <f>beregningsark!N57</f>
        <v>10.9</v>
      </c>
      <c r="D50" s="8">
        <f>beregningsark!C57</f>
        <v>1.07</v>
      </c>
      <c r="E50" s="9">
        <f>beregningsark!U57*1000</f>
        <v>820.31307403760309</v>
      </c>
      <c r="F50" s="9">
        <f>beregningsark!V57</f>
        <v>416.76464144447431</v>
      </c>
      <c r="G50" s="8">
        <f t="shared" si="0"/>
        <v>25.471173506445819</v>
      </c>
      <c r="H50" s="8">
        <f>beregningsark!T57</f>
        <v>1.7125952341442019</v>
      </c>
      <c r="I50" s="55">
        <f>beregningsark!X57</f>
        <v>1.622910837133275</v>
      </c>
    </row>
    <row r="51" spans="1:10" x14ac:dyDescent="0.25">
      <c r="A51" s="7">
        <v>47</v>
      </c>
      <c r="B51" s="8">
        <f>beregningsark!B58</f>
        <v>26.291486580483422</v>
      </c>
      <c r="C51" s="8">
        <f>beregningsark!N58</f>
        <v>10.9</v>
      </c>
      <c r="D51" s="8">
        <f>beregningsark!C58</f>
        <v>1.07</v>
      </c>
      <c r="E51" s="9">
        <f>beregningsark!U58*1000</f>
        <v>839.03088641669956</v>
      </c>
      <c r="F51" s="9">
        <f>beregningsark!V58</f>
        <v>425.35077830815794</v>
      </c>
      <c r="G51" s="8">
        <f t="shared" si="0"/>
        <v>26.291486580483422</v>
      </c>
      <c r="H51" s="8">
        <f>beregningsark!T58</f>
        <v>1.7228510110959108</v>
      </c>
      <c r="I51" s="55">
        <f>beregningsark!X58</f>
        <v>1.6265908677857759</v>
      </c>
    </row>
    <row r="52" spans="1:10" x14ac:dyDescent="0.25">
      <c r="A52" s="7">
        <v>48</v>
      </c>
      <c r="B52" s="8">
        <f>beregningsark!B59</f>
        <v>27.130517466900123</v>
      </c>
      <c r="C52" s="8">
        <f>beregningsark!N59</f>
        <v>10.9</v>
      </c>
      <c r="D52" s="8">
        <f>beregningsark!C59</f>
        <v>1.07</v>
      </c>
      <c r="E52" s="9">
        <f>beregningsark!U59*1000</f>
        <v>857.77672103215014</v>
      </c>
      <c r="F52" s="9">
        <f>beregningsark!V59</f>
        <v>433.96911389375254</v>
      </c>
      <c r="G52" s="8">
        <f t="shared" si="0"/>
        <v>27.130517466900123</v>
      </c>
      <c r="H52" s="8">
        <f>beregningsark!T59</f>
        <v>1.7333392740251177</v>
      </c>
      <c r="I52" s="55">
        <f>beregningsark!X59</f>
        <v>1.6304681230434255</v>
      </c>
    </row>
    <row r="53" spans="1:10" x14ac:dyDescent="0.25">
      <c r="A53" s="13">
        <v>49</v>
      </c>
      <c r="B53" s="56">
        <f>beregningsark!B60</f>
        <v>27.988294187932272</v>
      </c>
      <c r="C53" s="56">
        <f>beregningsark!N60</f>
        <v>10.9</v>
      </c>
      <c r="D53" s="56">
        <f>beregningsark!C60</f>
        <v>1.07</v>
      </c>
      <c r="E53" s="63">
        <f>beregningsark!U60*1000</f>
        <v>860.06126801662583</v>
      </c>
      <c r="F53" s="63">
        <f>beregningsark!V60</f>
        <v>442.6182487333117</v>
      </c>
      <c r="G53" s="56">
        <f t="shared" si="0"/>
        <v>27.988294187932272</v>
      </c>
      <c r="H53" s="56">
        <f>beregningsark!T60</f>
        <v>1.7440617962707785</v>
      </c>
      <c r="I53" s="57">
        <f>beregningsark!X60</f>
        <v>1.6345366992907442</v>
      </c>
    </row>
    <row r="54" spans="1:10" x14ac:dyDescent="0.25">
      <c r="A54" s="7">
        <v>50</v>
      </c>
      <c r="B54" s="8">
        <f>beregningsark!B61</f>
        <v>28.848355455948898</v>
      </c>
      <c r="C54" s="8">
        <f>beregningsark!N61</f>
        <v>10.9</v>
      </c>
      <c r="D54" s="8">
        <f>beregningsark!C61</f>
        <v>1.07</v>
      </c>
      <c r="E54" s="9">
        <f>beregningsark!U61*1000</f>
        <v>854.77846163380218</v>
      </c>
      <c r="F54" s="9">
        <f>beregningsark!V61</f>
        <v>450.96710911897799</v>
      </c>
      <c r="G54" s="8">
        <f t="shared" si="0"/>
        <v>28.848355455948898</v>
      </c>
      <c r="H54" s="8">
        <f>beregningsark!T61</f>
        <v>1.7548406602722972</v>
      </c>
      <c r="I54" s="55">
        <f>beregningsark!X61</f>
        <v>1.6387143118874732</v>
      </c>
    </row>
    <row r="55" spans="1:10" x14ac:dyDescent="0.25">
      <c r="A55" s="7">
        <v>51</v>
      </c>
      <c r="B55" s="8">
        <f>beregningsark!B62</f>
        <v>29.703133917582701</v>
      </c>
      <c r="C55" s="8">
        <f>beregningsark!N62</f>
        <v>10.9</v>
      </c>
      <c r="D55" s="8">
        <f>beregningsark!C62</f>
        <v>1.07</v>
      </c>
      <c r="E55" s="9">
        <f>beregningsark!U62*1000</f>
        <v>849.57271243694049</v>
      </c>
      <c r="F55" s="9">
        <f>beregningsark!V62</f>
        <v>458.88497877613139</v>
      </c>
      <c r="G55" s="8">
        <f t="shared" si="0"/>
        <v>29.703133917582701</v>
      </c>
      <c r="H55" s="8">
        <f>beregningsark!T62</f>
        <v>1.7655934307227852</v>
      </c>
      <c r="I55" s="55">
        <f>beregningsark!X62</f>
        <v>1.64295572253688</v>
      </c>
    </row>
    <row r="56" spans="1:10" x14ac:dyDescent="0.25">
      <c r="A56" s="7">
        <v>52</v>
      </c>
      <c r="B56" s="8">
        <f>beregningsark!B63</f>
        <v>30.552706630019642</v>
      </c>
      <c r="C56" s="8">
        <f>beregningsark!N63</f>
        <v>7.7</v>
      </c>
      <c r="D56" s="8">
        <f>beregningsark!C63</f>
        <v>1.05</v>
      </c>
      <c r="E56" s="9">
        <f>beregningsark!U63*1000</f>
        <v>748.10326761113652</v>
      </c>
      <c r="F56" s="9">
        <f>beregningsark!V63</f>
        <v>466.39820442345462</v>
      </c>
      <c r="G56" s="8">
        <f t="shared" si="0"/>
        <v>30.552706630019642</v>
      </c>
      <c r="H56" s="8">
        <f>beregningsark!T63</f>
        <v>2.0050707769127118</v>
      </c>
      <c r="I56" s="55">
        <f>beregningsark!X63</f>
        <v>1.6472517234731872</v>
      </c>
    </row>
    <row r="57" spans="1:10" x14ac:dyDescent="0.25">
      <c r="A57" s="7">
        <v>53</v>
      </c>
      <c r="B57" s="8">
        <f>beregningsark!B64</f>
        <v>31.300809897630778</v>
      </c>
      <c r="C57" s="8">
        <f>beregningsark!N64</f>
        <v>7.7</v>
      </c>
      <c r="D57" s="8">
        <f>beregningsark!C64</f>
        <v>1.05</v>
      </c>
      <c r="E57" s="9">
        <f>beregningsark!U64*1000</f>
        <v>747.82775839869589</v>
      </c>
      <c r="F57" s="9">
        <f>beregningsark!V64</f>
        <v>471.71339429492031</v>
      </c>
      <c r="G57" s="8">
        <f t="shared" si="0"/>
        <v>31.300809897630778</v>
      </c>
      <c r="H57" s="8">
        <f>beregningsark!T64</f>
        <v>2.0058094703677636</v>
      </c>
      <c r="I57" s="55">
        <f>beregningsark!X64</f>
        <v>1.6579588007313923</v>
      </c>
    </row>
    <row r="58" spans="1:10" x14ac:dyDescent="0.25">
      <c r="A58" s="7">
        <v>54</v>
      </c>
      <c r="B58" s="8">
        <f>beregningsark!B65</f>
        <v>32.04863765602947</v>
      </c>
      <c r="C58" s="8">
        <f>beregningsark!N65</f>
        <v>7.7</v>
      </c>
      <c r="D58" s="8">
        <f>beregningsark!C65</f>
        <v>1.05</v>
      </c>
      <c r="E58" s="9">
        <f>beregningsark!U65*1000</f>
        <v>742.09465303743832</v>
      </c>
      <c r="F58" s="9">
        <f>beregningsark!V65</f>
        <v>476.82662325980499</v>
      </c>
      <c r="G58" s="8">
        <f t="shared" si="0"/>
        <v>32.04863765602947</v>
      </c>
      <c r="H58" s="8">
        <f>beregningsark!T65</f>
        <v>2.0213054950071521</v>
      </c>
      <c r="I58" s="55">
        <f>beregningsark!X65</f>
        <v>1.6680615638370258</v>
      </c>
    </row>
    <row r="59" spans="1:10" x14ac:dyDescent="0.25">
      <c r="A59" s="7">
        <v>55</v>
      </c>
      <c r="B59" s="58">
        <f>beregningsark!B66</f>
        <v>32.790732309066911</v>
      </c>
      <c r="C59" s="8">
        <f>beregningsark!N66</f>
        <v>7.7</v>
      </c>
      <c r="D59" s="8">
        <f>beregningsark!C66</f>
        <v>1.05</v>
      </c>
      <c r="E59" s="64">
        <f>beregningsark!U66*1000</f>
        <v>739.38755893057214</v>
      </c>
      <c r="F59" s="64">
        <f>beregningsark!V66</f>
        <v>481.64967834667112</v>
      </c>
      <c r="G59" s="58">
        <f t="shared" si="0"/>
        <v>32.790732309066911</v>
      </c>
      <c r="H59" s="58">
        <f>beregningsark!T66</f>
        <v>2.0287060309339728</v>
      </c>
      <c r="I59" s="59">
        <f>beregningsark!X66</f>
        <v>1.677957116345008</v>
      </c>
      <c r="J59" s="11" t="s">
        <v>159</v>
      </c>
    </row>
    <row r="60" spans="1:10" x14ac:dyDescent="0.25">
      <c r="A60" s="13">
        <v>56</v>
      </c>
      <c r="B60" s="56">
        <f>beregningsark!B67</f>
        <v>33.530119867997485</v>
      </c>
      <c r="C60" s="56">
        <f>beregningsark!N67</f>
        <v>7.7</v>
      </c>
      <c r="D60" s="56">
        <f>beregningsark!C67</f>
        <v>1.05</v>
      </c>
      <c r="E60" s="63">
        <f>beregningsark!U67*1000</f>
        <v>736.69464517472636</v>
      </c>
      <c r="F60" s="63">
        <f>beregningsark!V67</f>
        <v>486.25214049995509</v>
      </c>
      <c r="G60" s="56">
        <f t="shared" si="0"/>
        <v>33.530119867997485</v>
      </c>
      <c r="H60" s="56">
        <f>beregningsark!T67</f>
        <v>2.0361217633721713</v>
      </c>
      <c r="I60" s="57">
        <f>beregningsark!X67</f>
        <v>1.6874811061405972</v>
      </c>
    </row>
    <row r="61" spans="1:10" x14ac:dyDescent="0.25">
      <c r="A61" s="7">
        <v>57</v>
      </c>
      <c r="B61" s="8">
        <f>beregningsark!B68</f>
        <v>34.266814513172214</v>
      </c>
      <c r="C61" s="8">
        <f>beregningsark!N68</f>
        <v>7.7</v>
      </c>
      <c r="D61" s="8">
        <f>beregningsark!C68</f>
        <v>1.05</v>
      </c>
      <c r="E61" s="9">
        <f>beregningsark!U68*1000</f>
        <v>748.01162065251765</v>
      </c>
      <c r="F61" s="9">
        <f>beregningsark!V68</f>
        <v>490.64586865214409</v>
      </c>
      <c r="G61" s="8">
        <f t="shared" si="0"/>
        <v>34.266814513172214</v>
      </c>
      <c r="H61" s="8">
        <f>beregningsark!T68</f>
        <v>2.0435511398426494</v>
      </c>
      <c r="I61" s="55">
        <f>beregningsark!X68</f>
        <v>1.6966649087918331</v>
      </c>
    </row>
    <row r="62" spans="1:10" x14ac:dyDescent="0.25">
      <c r="A62" s="7">
        <v>58</v>
      </c>
      <c r="B62" s="8">
        <f>beregningsark!B69</f>
        <v>35.014826133824734</v>
      </c>
      <c r="C62" s="8">
        <f>beregningsark!N69</f>
        <v>7.7</v>
      </c>
      <c r="D62" s="8">
        <f>beregningsark!C69</f>
        <v>1.05</v>
      </c>
      <c r="E62" s="9">
        <f>beregningsark!U69*1000</f>
        <v>759.18533740055182</v>
      </c>
      <c r="F62" s="9">
        <f>beregningsark!V69</f>
        <v>495.08320920387473</v>
      </c>
      <c r="G62" s="8">
        <f t="shared" si="0"/>
        <v>35.014826133824734</v>
      </c>
      <c r="H62" s="8">
        <f>beregningsark!T69</f>
        <v>2.0511460420611489</v>
      </c>
      <c r="I62" s="55">
        <f>beregningsark!X69</f>
        <v>1.7057011791373711</v>
      </c>
    </row>
    <row r="63" spans="1:10" x14ac:dyDescent="0.25">
      <c r="A63" s="7">
        <v>59</v>
      </c>
      <c r="B63" s="8">
        <f>beregningsark!B70</f>
        <v>35.774011471225286</v>
      </c>
      <c r="C63" s="8">
        <f>beregningsark!N70</f>
        <v>7.7</v>
      </c>
      <c r="D63" s="8">
        <f>beregningsark!C70</f>
        <v>1.05</v>
      </c>
      <c r="E63" s="9">
        <f>beregningsark!U70*1000</f>
        <v>770.21577662467064</v>
      </c>
      <c r="F63" s="9">
        <f>beregningsark!V70</f>
        <v>499.55951646144553</v>
      </c>
      <c r="G63" s="8">
        <f t="shared" si="0"/>
        <v>35.774011471225286</v>
      </c>
      <c r="H63" s="8">
        <f>beregningsark!T70</f>
        <v>2.058903554208507</v>
      </c>
      <c r="I63" s="55">
        <f>beregningsark!X70</f>
        <v>1.7145990746636759</v>
      </c>
    </row>
    <row r="64" spans="1:10" x14ac:dyDescent="0.25">
      <c r="A64" s="7">
        <v>60</v>
      </c>
      <c r="B64" s="8">
        <f>beregningsark!B71</f>
        <v>36.54422724784996</v>
      </c>
      <c r="C64" s="8">
        <f>beregningsark!N71</f>
        <v>7.7</v>
      </c>
      <c r="D64" s="8">
        <f>beregningsark!C71</f>
        <v>1.05</v>
      </c>
      <c r="E64" s="9">
        <f>beregningsark!U71*1000</f>
        <v>781.1030059233816</v>
      </c>
      <c r="F64" s="9">
        <f>beregningsark!V71</f>
        <v>504.07045413083262</v>
      </c>
      <c r="G64" s="8">
        <f t="shared" si="0"/>
        <v>36.54422724784996</v>
      </c>
      <c r="H64" s="8">
        <f>beregningsark!T71</f>
        <v>2.0668208773457932</v>
      </c>
      <c r="I64" s="55">
        <f>beregningsark!X71</f>
        <v>1.7233673179365081</v>
      </c>
    </row>
    <row r="65" spans="1:9" x14ac:dyDescent="0.25">
      <c r="A65" s="7">
        <v>61</v>
      </c>
      <c r="B65" s="8">
        <f>beregningsark!B72</f>
        <v>37.325330253773345</v>
      </c>
      <c r="C65" s="8">
        <f>beregningsark!N72</f>
        <v>7.7</v>
      </c>
      <c r="D65" s="8">
        <f>beregningsark!C72</f>
        <v>1.05</v>
      </c>
      <c r="E65" s="9">
        <f>beregningsark!U72*1000</f>
        <v>791.84717561994671</v>
      </c>
      <c r="F65" s="9">
        <f>beregningsark!V72</f>
        <v>508.61197137333346</v>
      </c>
      <c r="G65" s="8">
        <f t="shared" si="0"/>
        <v>37.325330253773345</v>
      </c>
      <c r="H65" s="8">
        <f>beregningsark!T72</f>
        <v>2.0748953214535057</v>
      </c>
      <c r="I65" s="55">
        <f>beregningsark!X72</f>
        <v>1.7320142076055407</v>
      </c>
    </row>
    <row r="66" spans="1:9" x14ac:dyDescent="0.25">
      <c r="A66" s="7">
        <v>62</v>
      </c>
      <c r="B66" s="8">
        <f>beregningsark!B73</f>
        <v>38.117177429393294</v>
      </c>
      <c r="C66" s="8">
        <f>beregningsark!N73</f>
        <v>7.7</v>
      </c>
      <c r="D66" s="8">
        <f>beregningsark!C73</f>
        <v>1.05</v>
      </c>
      <c r="E66" s="9">
        <f>beregningsark!U73*1000</f>
        <v>802.44851516004155</v>
      </c>
      <c r="F66" s="9">
        <f>beregningsark!V73</f>
        <v>513.18028111924662</v>
      </c>
      <c r="G66" s="8">
        <f t="shared" si="0"/>
        <v>38.117177429393294</v>
      </c>
      <c r="H66" s="8">
        <f>beregningsark!T73</f>
        <v>2.083124298219448</v>
      </c>
      <c r="I66" s="55">
        <f>beregningsark!X73</f>
        <v>1.7405476308539243</v>
      </c>
    </row>
    <row r="67" spans="1:9" x14ac:dyDescent="0.25">
      <c r="A67" s="13">
        <v>63</v>
      </c>
      <c r="B67" s="60">
        <f>beregningsark!B74</f>
        <v>38.919625944553339</v>
      </c>
      <c r="C67" s="56">
        <f>beregningsark!N74</f>
        <v>7.7</v>
      </c>
      <c r="D67" s="56">
        <f>beregningsark!C74</f>
        <v>1.05</v>
      </c>
      <c r="E67" s="63">
        <f>beregningsark!U74*1000</f>
        <v>812.81170467023026</v>
      </c>
      <c r="F67" s="63">
        <f>beregningsark!V74</f>
        <v>517.77184038973553</v>
      </c>
      <c r="G67" s="56">
        <f t="shared" si="0"/>
        <v>38.919625944553339</v>
      </c>
      <c r="H67" s="56">
        <f>beregningsark!T74</f>
        <v>2.0915053144931215</v>
      </c>
      <c r="I67" s="57">
        <f>beregningsark!X74</f>
        <v>1.7489750769111905</v>
      </c>
    </row>
    <row r="68" spans="1:9" x14ac:dyDescent="0.25">
      <c r="A68" s="7">
        <v>64</v>
      </c>
      <c r="B68" s="8">
        <f>beregningsark!B75</f>
        <v>39.73243764922357</v>
      </c>
      <c r="C68" s="8">
        <f>beregningsark!N75</f>
        <v>7.7</v>
      </c>
      <c r="D68" s="8">
        <f>beregningsark!C75</f>
        <v>1.05</v>
      </c>
      <c r="E68" s="9">
        <f>beregningsark!U75*1000</f>
        <v>826.53387290205251</v>
      </c>
      <c r="F68" s="9">
        <f>beregningsark!V75</f>
        <v>522.38183826911836</v>
      </c>
      <c r="G68" s="8">
        <f t="shared" si="0"/>
        <v>39.73243764922357</v>
      </c>
      <c r="H68" s="8">
        <f>beregningsark!T75</f>
        <v>2.1000349252542891</v>
      </c>
      <c r="I68" s="55">
        <f>beregningsark!X75</f>
        <v>1.7573026954124558</v>
      </c>
    </row>
    <row r="69" spans="1:9" x14ac:dyDescent="0.25">
      <c r="A69" s="7">
        <v>65</v>
      </c>
      <c r="B69" s="8">
        <f>beregningsark!B76</f>
        <v>40.558971522125624</v>
      </c>
      <c r="C69" s="8">
        <f>beregningsark!N76</f>
        <v>7.7</v>
      </c>
      <c r="D69" s="8">
        <f>beregningsark!C76</f>
        <v>1.05</v>
      </c>
      <c r="E69" s="9">
        <f>beregningsark!U76*1000</f>
        <v>840.07157336663977</v>
      </c>
      <c r="F69" s="9">
        <f>beregningsark!V76</f>
        <v>527.0611003403942</v>
      </c>
      <c r="G69" s="8">
        <f t="shared" ref="G69:G132" si="1">B69</f>
        <v>40.558971522125624</v>
      </c>
      <c r="H69" s="8">
        <f>beregningsark!T76</f>
        <v>2.1087488925504312</v>
      </c>
      <c r="I69" s="55">
        <f>beregningsark!X76</f>
        <v>1.7655714724572242</v>
      </c>
    </row>
    <row r="70" spans="1:9" x14ac:dyDescent="0.25">
      <c r="A70" s="7">
        <v>66</v>
      </c>
      <c r="B70" s="8">
        <f>beregningsark!B77</f>
        <v>41.399043095492267</v>
      </c>
      <c r="C70" s="8">
        <f>beregningsark!N77</f>
        <v>7.7</v>
      </c>
      <c r="D70" s="8">
        <f>beregningsark!C77</f>
        <v>1.05</v>
      </c>
      <c r="E70" s="9">
        <f>beregningsark!U77*1000</f>
        <v>853.42461456759156</v>
      </c>
      <c r="F70" s="9">
        <f>beregningsark!V77</f>
        <v>531.80368326503435</v>
      </c>
      <c r="G70" s="8">
        <f t="shared" si="1"/>
        <v>41.399043095492267</v>
      </c>
      <c r="H70" s="8">
        <f>beregningsark!T77</f>
        <v>2.1176445688945673</v>
      </c>
      <c r="I70" s="55">
        <f>beregningsark!X77</f>
        <v>1.773785189123438</v>
      </c>
    </row>
    <row r="71" spans="1:9" x14ac:dyDescent="0.25">
      <c r="A71" s="7">
        <v>67</v>
      </c>
      <c r="B71" s="8">
        <f>beregningsark!B78</f>
        <v>42.252467710059861</v>
      </c>
      <c r="C71" s="8">
        <f>beregningsark!N78</f>
        <v>7.7</v>
      </c>
      <c r="D71" s="8">
        <f>beregningsark!C78</f>
        <v>1.05</v>
      </c>
      <c r="E71" s="9">
        <f>beregningsark!U78*1000</f>
        <v>866.5929410508403</v>
      </c>
      <c r="F71" s="9">
        <f>beregningsark!V78</f>
        <v>536.60399567253523</v>
      </c>
      <c r="G71" s="8">
        <f t="shared" si="1"/>
        <v>42.252467710059861</v>
      </c>
      <c r="H71" s="8">
        <f>beregningsark!T78</f>
        <v>2.1267193773412894</v>
      </c>
      <c r="I71" s="55">
        <f>beregningsark!X78</f>
        <v>1.7819475790048012</v>
      </c>
    </row>
    <row r="72" spans="1:9" x14ac:dyDescent="0.25">
      <c r="A72" s="7">
        <v>68</v>
      </c>
      <c r="B72" s="8">
        <f>beregningsark!B79</f>
        <v>43.119060651110701</v>
      </c>
      <c r="C72" s="8">
        <f>beregningsark!N79</f>
        <v>7.7</v>
      </c>
      <c r="D72" s="8">
        <f>beregningsark!C79</f>
        <v>1.05</v>
      </c>
      <c r="E72" s="9">
        <f>beregningsark!U79*1000</f>
        <v>879.57662753620082</v>
      </c>
      <c r="F72" s="9">
        <f>beregningsark!V79</f>
        <v>541.45677428103977</v>
      </c>
      <c r="G72" s="8">
        <f t="shared" si="1"/>
        <v>43.119060651110701</v>
      </c>
      <c r="H72" s="8">
        <f>beregningsark!T79</f>
        <v>2.1359708082087208</v>
      </c>
      <c r="I72" s="55">
        <f>beregningsark!X79</f>
        <v>1.7900623109243075</v>
      </c>
    </row>
    <row r="73" spans="1:9" x14ac:dyDescent="0.25">
      <c r="A73" s="7">
        <v>69</v>
      </c>
      <c r="B73" s="8">
        <f>beregningsark!B80</f>
        <v>43.998637278646903</v>
      </c>
      <c r="C73" s="8">
        <f>beregningsark!N80</f>
        <v>7.7</v>
      </c>
      <c r="D73" s="8">
        <f>beregningsark!C80</f>
        <v>1.05</v>
      </c>
      <c r="E73" s="9">
        <f>beregningsark!U80*1000</f>
        <v>892.37587312521771</v>
      </c>
      <c r="F73" s="9">
        <f>beregningsark!V80</f>
        <v>546.35706200937545</v>
      </c>
      <c r="G73" s="8">
        <f t="shared" si="1"/>
        <v>43.998637278646903</v>
      </c>
      <c r="H73" s="8">
        <f>beregningsark!T80</f>
        <v>2.1453964160810051</v>
      </c>
      <c r="I73" s="55">
        <f>beregningsark!X80</f>
        <v>1.798132974784878</v>
      </c>
    </row>
    <row r="74" spans="1:9" x14ac:dyDescent="0.25">
      <c r="A74" s="13">
        <v>70</v>
      </c>
      <c r="B74" s="56">
        <f>beregningsark!B81</f>
        <v>44.891013151772121</v>
      </c>
      <c r="C74" s="56">
        <f>beregningsark!N81</f>
        <v>7.7</v>
      </c>
      <c r="D74" s="56">
        <f>beregningsark!C81</f>
        <v>1.05</v>
      </c>
      <c r="E74" s="63">
        <f>beregningsark!U81*1000</f>
        <v>904.87498597979516</v>
      </c>
      <c r="F74" s="63">
        <f>beregningsark!V81</f>
        <v>551.30018788245889</v>
      </c>
      <c r="G74" s="56">
        <f t="shared" si="1"/>
        <v>44.891013151772121</v>
      </c>
      <c r="H74" s="56">
        <f>beregningsark!T81</f>
        <v>2.1549938170614227</v>
      </c>
      <c r="I74" s="57">
        <f>beregningsark!X81</f>
        <v>1.8061630701703595</v>
      </c>
    </row>
    <row r="75" spans="1:9" x14ac:dyDescent="0.25">
      <c r="A75" s="7">
        <v>71</v>
      </c>
      <c r="B75" s="8">
        <f>beregningsark!B82</f>
        <v>45.795888137751916</v>
      </c>
      <c r="C75" s="8">
        <f>beregningsark!N82</f>
        <v>7.7</v>
      </c>
      <c r="D75" s="8">
        <f>beregningsark!C82</f>
        <v>1.05</v>
      </c>
      <c r="E75" s="9">
        <f>beregningsark!U82*1000</f>
        <v>917.30747191153193</v>
      </c>
      <c r="F75" s="9">
        <f>beregningsark!V82</f>
        <v>556.28011461622418</v>
      </c>
      <c r="G75" s="8">
        <f t="shared" si="1"/>
        <v>45.795888137751916</v>
      </c>
      <c r="H75" s="8">
        <f>beregningsark!T82</f>
        <v>2.1647594299673512</v>
      </c>
      <c r="I75" s="55">
        <f>beregningsark!X82</f>
        <v>1.8141549962184957</v>
      </c>
    </row>
    <row r="76" spans="1:9" x14ac:dyDescent="0.25">
      <c r="A76" s="7">
        <v>72</v>
      </c>
      <c r="B76" s="8">
        <f>beregningsark!B83</f>
        <v>46.713195609663451</v>
      </c>
      <c r="C76" s="8">
        <f>beregningsark!N83</f>
        <v>7.7</v>
      </c>
      <c r="D76" s="8">
        <f>beregningsark!C83</f>
        <v>1.05</v>
      </c>
      <c r="E76" s="9">
        <f>beregningsark!U83*1000</f>
        <v>929.55681391305905</v>
      </c>
      <c r="F76" s="9">
        <f>beregningsark!V83</f>
        <v>561.29438346754796</v>
      </c>
      <c r="G76" s="8">
        <f t="shared" si="1"/>
        <v>46.713195609663451</v>
      </c>
      <c r="H76" s="8">
        <f>beregningsark!T83</f>
        <v>2.174692250912885</v>
      </c>
      <c r="I76" s="55">
        <f>beregningsark!X83</f>
        <v>1.8221130916353854</v>
      </c>
    </row>
    <row r="77" spans="1:9" x14ac:dyDescent="0.25">
      <c r="A77" s="7">
        <v>73</v>
      </c>
      <c r="B77" s="8">
        <f>beregningsark!B84</f>
        <v>47.642752423576511</v>
      </c>
      <c r="C77" s="8">
        <f>beregningsark!N84</f>
        <v>7.7</v>
      </c>
      <c r="D77" s="8">
        <f>beregningsark!C84</f>
        <v>1.05</v>
      </c>
      <c r="E77" s="9">
        <f>beregningsark!U84*1000</f>
        <v>941.62365150926109</v>
      </c>
      <c r="F77" s="9">
        <f>beregningsark!V84</f>
        <v>566.33907429556859</v>
      </c>
      <c r="G77" s="8">
        <f t="shared" si="1"/>
        <v>47.642752423576511</v>
      </c>
      <c r="H77" s="8">
        <f>beregningsark!T84</f>
        <v>2.1847900662887785</v>
      </c>
      <c r="I77" s="55">
        <f>beregningsark!X84</f>
        <v>1.8300405357637362</v>
      </c>
    </row>
    <row r="78" spans="1:9" x14ac:dyDescent="0.25">
      <c r="A78" s="7">
        <v>74</v>
      </c>
      <c r="B78" s="8">
        <f>beregningsark!B85</f>
        <v>48.584376075085771</v>
      </c>
      <c r="C78" s="8">
        <f>beregningsark!N85</f>
        <v>7.7</v>
      </c>
      <c r="D78" s="8">
        <f>beregningsark!C85</f>
        <v>1.05</v>
      </c>
      <c r="E78" s="9">
        <f>beregningsark!U85*1000</f>
        <v>953.50872108553165</v>
      </c>
      <c r="F78" s="9">
        <f>beregningsark!V85</f>
        <v>571.41048750115908</v>
      </c>
      <c r="G78" s="8">
        <f t="shared" si="1"/>
        <v>48.584376075085771</v>
      </c>
      <c r="H78" s="8">
        <f>beregningsark!T85</f>
        <v>2.1950507150235641</v>
      </c>
      <c r="I78" s="55">
        <f>beregningsark!X85</f>
        <v>1.8379403933307727</v>
      </c>
    </row>
    <row r="79" spans="1:9" x14ac:dyDescent="0.25">
      <c r="A79" s="7">
        <v>75</v>
      </c>
      <c r="B79" s="8">
        <f>beregningsark!B86</f>
        <v>49.537884796171305</v>
      </c>
      <c r="C79" s="8">
        <f>beregningsark!N86</f>
        <v>7.7</v>
      </c>
      <c r="D79" s="8">
        <f>beregningsark!C86</f>
        <v>1.05</v>
      </c>
      <c r="E79" s="9">
        <f>beregningsark!U86*1000</f>
        <v>965.21285070464057</v>
      </c>
      <c r="F79" s="9">
        <f>beregningsark!V86</f>
        <v>576.50513061561753</v>
      </c>
      <c r="G79" s="8">
        <f t="shared" si="1"/>
        <v>49.537884796171305</v>
      </c>
      <c r="H79" s="8">
        <f>beregningsark!T86</f>
        <v>2.2054720867484674</v>
      </c>
      <c r="I79" s="55">
        <f>beregningsark!X86</f>
        <v>1.8458156121979521</v>
      </c>
    </row>
    <row r="80" spans="1:9" x14ac:dyDescent="0.25">
      <c r="A80" s="7">
        <v>76</v>
      </c>
      <c r="B80" s="8">
        <f>beregningsark!B87</f>
        <v>50.503097646875943</v>
      </c>
      <c r="C80" s="8">
        <f>beregningsark!N87</f>
        <v>7.7</v>
      </c>
      <c r="D80" s="8">
        <f>beregningsark!C87</f>
        <v>1.05</v>
      </c>
      <c r="E80" s="9">
        <f>beregningsark!U87*1000</f>
        <v>976.7369550449157</v>
      </c>
      <c r="F80" s="9">
        <f>beregningsark!V87</f>
        <v>581.61970587994676</v>
      </c>
      <c r="G80" s="8">
        <f t="shared" si="1"/>
        <v>50.503097646875943</v>
      </c>
      <c r="H80" s="8">
        <f>beregningsark!T87</f>
        <v>2.2160521200925229</v>
      </c>
      <c r="I80" s="55">
        <f>beregningsark!X87</f>
        <v>1.8536690222428434</v>
      </c>
    </row>
    <row r="81" spans="1:9" x14ac:dyDescent="0.25">
      <c r="A81" s="13">
        <v>77</v>
      </c>
      <c r="B81" s="56">
        <f>beregningsark!B88</f>
        <v>51.479834601920857</v>
      </c>
      <c r="C81" s="56">
        <f>beregningsark!N88</f>
        <v>7.7</v>
      </c>
      <c r="D81" s="56">
        <f>beregningsark!C88</f>
        <v>1.05</v>
      </c>
      <c r="E81" s="63">
        <f>beregningsark!U88*1000</f>
        <v>987.96976117283953</v>
      </c>
      <c r="F81" s="63">
        <f>beregningsark!V88</f>
        <v>586.751098726245</v>
      </c>
      <c r="G81" s="56">
        <f t="shared" si="1"/>
        <v>51.479834601920857</v>
      </c>
      <c r="H81" s="56">
        <f>beregningsark!T88</f>
        <v>2.2267888010948171</v>
      </c>
      <c r="I81" s="57">
        <f>beregningsark!X88</f>
        <v>1.8615033351984378</v>
      </c>
    </row>
    <row r="82" spans="1:9" x14ac:dyDescent="0.25">
      <c r="A82" s="7">
        <v>78</v>
      </c>
      <c r="B82" s="8">
        <f>beregningsark!B89</f>
        <v>52.467804363093698</v>
      </c>
      <c r="C82" s="8">
        <f>beregningsark!N89</f>
        <v>7.7</v>
      </c>
      <c r="D82" s="8">
        <f>beregningsark!C89</f>
        <v>1.05</v>
      </c>
      <c r="E82" s="9">
        <f>beregningsark!U89*1000</f>
        <v>995.94269308002163</v>
      </c>
      <c r="F82" s="9">
        <f>beregningsark!V89</f>
        <v>591.89492773197048</v>
      </c>
      <c r="G82" s="8">
        <f t="shared" si="1"/>
        <v>52.467804363093698</v>
      </c>
      <c r="H82" s="8">
        <f>beregningsark!T89</f>
        <v>2.2376789502897005</v>
      </c>
      <c r="I82" s="55">
        <f>beregningsark!X89</f>
        <v>1.8693202760185659</v>
      </c>
    </row>
    <row r="83" spans="1:9" x14ac:dyDescent="0.25">
      <c r="A83" s="7">
        <v>79</v>
      </c>
      <c r="B83" s="8">
        <f>beregningsark!B90</f>
        <v>53.463747056173723</v>
      </c>
      <c r="C83" s="8">
        <f>beregningsark!N90</f>
        <v>7.7</v>
      </c>
      <c r="D83" s="8">
        <f>beregningsark!C90</f>
        <v>1.05</v>
      </c>
      <c r="E83" s="9">
        <f>beregningsark!U90*1000</f>
        <v>1003.7855869048107</v>
      </c>
      <c r="F83" s="9">
        <f>beregningsark!V90</f>
        <v>597.00945640726229</v>
      </c>
      <c r="G83" s="8">
        <f t="shared" si="1"/>
        <v>53.463747056173723</v>
      </c>
      <c r="H83" s="8">
        <f>beregningsark!T90</f>
        <v>2.248687398431485</v>
      </c>
      <c r="I83" s="55">
        <f>beregningsark!X90</f>
        <v>1.8770987956013299</v>
      </c>
    </row>
    <row r="84" spans="1:9" x14ac:dyDescent="0.25">
      <c r="A84" s="7">
        <v>80</v>
      </c>
      <c r="B84" s="8">
        <f>beregningsark!B91</f>
        <v>54.467532643078535</v>
      </c>
      <c r="C84" s="8">
        <f>beregningsark!N91</f>
        <v>7.7</v>
      </c>
      <c r="D84" s="8">
        <f>beregningsark!C91</f>
        <v>1.05</v>
      </c>
      <c r="E84" s="9">
        <f>beregningsark!U91*1000</f>
        <v>1011.4997686548714</v>
      </c>
      <c r="F84" s="9">
        <f>beregningsark!V91</f>
        <v>602.09415803848174</v>
      </c>
      <c r="G84" s="8">
        <f t="shared" si="1"/>
        <v>54.467532643078535</v>
      </c>
      <c r="H84" s="8">
        <f>beregningsark!T91</f>
        <v>2.2598126770110274</v>
      </c>
      <c r="I84" s="55">
        <f>beregningsark!X91</f>
        <v>1.8848425031012115</v>
      </c>
    </row>
    <row r="85" spans="1:9" x14ac:dyDescent="0.25">
      <c r="A85" s="7">
        <v>81</v>
      </c>
      <c r="B85" s="8">
        <f>beregningsark!B92</f>
        <v>55.479032411733407</v>
      </c>
      <c r="C85" s="8">
        <f>beregningsark!N92</f>
        <v>7.7</v>
      </c>
      <c r="D85" s="8">
        <f>beregningsark!C92</f>
        <v>1.05</v>
      </c>
      <c r="E85" s="9">
        <f>beregningsark!U92*1000</f>
        <v>1019.0865802751055</v>
      </c>
      <c r="F85" s="9">
        <f>beregningsark!V92</f>
        <v>607.14854829300498</v>
      </c>
      <c r="G85" s="8">
        <f t="shared" si="1"/>
        <v>55.479032411733407</v>
      </c>
      <c r="H85" s="8">
        <f>beregningsark!T92</f>
        <v>2.2710533577777277</v>
      </c>
      <c r="I85" s="55">
        <f>beregningsark!X92</f>
        <v>1.8925547785479273</v>
      </c>
    </row>
    <row r="86" spans="1:9" x14ac:dyDescent="0.25">
      <c r="A86" s="7">
        <v>82</v>
      </c>
      <c r="B86" s="8">
        <f>beregningsark!B93</f>
        <v>56.498118992008514</v>
      </c>
      <c r="C86" s="8">
        <f>beregningsark!N93</f>
        <v>7.7</v>
      </c>
      <c r="D86" s="8">
        <f>beregningsark!C93</f>
        <v>1.05</v>
      </c>
      <c r="E86" s="9">
        <f>beregningsark!U93*1000</f>
        <v>1026.5473778012217</v>
      </c>
      <c r="F86" s="9">
        <f>beregningsark!V93</f>
        <v>612.1721828293721</v>
      </c>
      <c r="G86" s="8">
        <f t="shared" si="1"/>
        <v>56.498118992008514</v>
      </c>
      <c r="H86" s="8">
        <f>beregningsark!T93</f>
        <v>2.2824080511690648</v>
      </c>
      <c r="I86" s="55">
        <f>beregningsark!X93</f>
        <v>1.9002387880385556</v>
      </c>
    </row>
    <row r="87" spans="1:9" x14ac:dyDescent="0.25">
      <c r="A87" s="7">
        <v>83</v>
      </c>
      <c r="B87" s="8">
        <f>beregningsark!B94</f>
        <v>57.524666369809736</v>
      </c>
      <c r="C87" s="8">
        <f>beregningsark!N94</f>
        <v>7.7</v>
      </c>
      <c r="D87" s="8">
        <f>beregningsark!C94</f>
        <v>1.05</v>
      </c>
      <c r="E87" s="9">
        <f>beregningsark!U94*1000</f>
        <v>1033.8835295931538</v>
      </c>
      <c r="F87" s="9">
        <f>beregningsark!V94</f>
        <v>617.16465505794872</v>
      </c>
      <c r="G87" s="8">
        <f t="shared" si="1"/>
        <v>57.524666369809736</v>
      </c>
      <c r="H87" s="8">
        <f>beregningsark!T94</f>
        <v>2.2938754048371917</v>
      </c>
      <c r="I87" s="55">
        <f>beregningsark!X94</f>
        <v>1.907897497850555</v>
      </c>
    </row>
    <row r="88" spans="1:9" x14ac:dyDescent="0.25">
      <c r="A88" s="13">
        <v>84</v>
      </c>
      <c r="B88" s="56">
        <f>beregningsark!B95</f>
        <v>58.558549899402891</v>
      </c>
      <c r="C88" s="56">
        <f>beregningsark!N95</f>
        <v>6</v>
      </c>
      <c r="D88" s="56">
        <f>beregningsark!C95</f>
        <v>1.03</v>
      </c>
      <c r="E88" s="63">
        <f>beregningsark!U95*1000</f>
        <v>921.61121635202642</v>
      </c>
      <c r="F88" s="63">
        <f>beregningsark!V95</f>
        <v>622.12559404051058</v>
      </c>
      <c r="G88" s="56">
        <f t="shared" si="1"/>
        <v>58.558549899402891</v>
      </c>
      <c r="H88" s="56">
        <f>beregningsark!T95</f>
        <v>2.6041349729876506</v>
      </c>
      <c r="I88" s="57">
        <f>beregningsark!X95</f>
        <v>1.915533687557091</v>
      </c>
    </row>
    <row r="89" spans="1:9" x14ac:dyDescent="0.25">
      <c r="A89" s="7">
        <v>85</v>
      </c>
      <c r="B89" s="8">
        <f>beregningsark!B96</f>
        <v>59.480161115754917</v>
      </c>
      <c r="C89" s="8">
        <f>beregningsark!N96</f>
        <v>6</v>
      </c>
      <c r="D89" s="8">
        <f>beregningsark!C96</f>
        <v>1.03</v>
      </c>
      <c r="E89" s="9">
        <f>beregningsark!U96*1000</f>
        <v>932.27089979846698</v>
      </c>
      <c r="F89" s="9">
        <f>beregningsark!V96</f>
        <v>625.64895430299907</v>
      </c>
      <c r="G89" s="8">
        <f t="shared" si="1"/>
        <v>59.480161115754917</v>
      </c>
      <c r="H89" s="8">
        <f>beregningsark!T96</f>
        <v>2.6050367983437011</v>
      </c>
      <c r="I89" s="55">
        <f>beregningsark!X96</f>
        <v>1.9274671351987007</v>
      </c>
    </row>
    <row r="90" spans="1:9" x14ac:dyDescent="0.25">
      <c r="A90" s="7">
        <v>86</v>
      </c>
      <c r="B90" s="8">
        <f>beregningsark!B97</f>
        <v>60.412432015553385</v>
      </c>
      <c r="C90" s="8">
        <f>beregningsark!N97</f>
        <v>6</v>
      </c>
      <c r="D90" s="8">
        <f>beregningsark!C97</f>
        <v>1.03</v>
      </c>
      <c r="E90" s="9">
        <f>beregningsark!U97*1000</f>
        <v>942.92148230016699</v>
      </c>
      <c r="F90" s="9">
        <f>beregningsark!V97</f>
        <v>629.21432576224868</v>
      </c>
      <c r="G90" s="8">
        <f t="shared" si="1"/>
        <v>60.412432015553385</v>
      </c>
      <c r="H90" s="8">
        <f>beregningsark!T97</f>
        <v>2.6059433856633478</v>
      </c>
      <c r="I90" s="55">
        <f>beregningsark!X97</f>
        <v>1.939140579839939</v>
      </c>
    </row>
    <row r="91" spans="1:9" x14ac:dyDescent="0.25">
      <c r="A91" s="7">
        <v>87</v>
      </c>
      <c r="B91" s="8">
        <f>beregningsark!B98</f>
        <v>61.35535349785355</v>
      </c>
      <c r="C91" s="8">
        <f>beregningsark!N98</f>
        <v>6</v>
      </c>
      <c r="D91" s="8">
        <f>beregningsark!C98</f>
        <v>1.03</v>
      </c>
      <c r="E91" s="9">
        <f>beregningsark!U98*1000</f>
        <v>953.56294404264349</v>
      </c>
      <c r="F91" s="9">
        <f>beregningsark!V98</f>
        <v>632.82015514774207</v>
      </c>
      <c r="G91" s="8">
        <f t="shared" si="1"/>
        <v>61.35535349785355</v>
      </c>
      <c r="H91" s="8">
        <f>beregningsark!T98</f>
        <v>2.6068546555106429</v>
      </c>
      <c r="I91" s="55">
        <f>beregningsark!X98</f>
        <v>1.9505607715219966</v>
      </c>
    </row>
    <row r="92" spans="1:9" x14ac:dyDescent="0.25">
      <c r="A92" s="7">
        <v>88</v>
      </c>
      <c r="B92" s="8">
        <f>beregningsark!B99</f>
        <v>62.308916441896194</v>
      </c>
      <c r="C92" s="8">
        <f>beregningsark!N99</f>
        <v>6</v>
      </c>
      <c r="D92" s="8">
        <f>beregningsark!C99</f>
        <v>1.03</v>
      </c>
      <c r="E92" s="9">
        <f>beregningsark!U99*1000</f>
        <v>964.19526596692162</v>
      </c>
      <c r="F92" s="9">
        <f>beregningsark!V99</f>
        <v>636.46495956700221</v>
      </c>
      <c r="G92" s="8">
        <f t="shared" si="1"/>
        <v>62.308916441896194</v>
      </c>
      <c r="H92" s="8">
        <f>beregningsark!T99</f>
        <v>2.6077705302550829</v>
      </c>
      <c r="I92" s="55">
        <f>beregningsark!X99</f>
        <v>1.961734305450699</v>
      </c>
    </row>
    <row r="93" spans="1:9" x14ac:dyDescent="0.25">
      <c r="A93" s="7">
        <v>89</v>
      </c>
      <c r="B93" s="8">
        <f>beregningsark!B100</f>
        <v>63.273111707863116</v>
      </c>
      <c r="C93" s="8">
        <f>beregningsark!N100</f>
        <v>6</v>
      </c>
      <c r="D93" s="8">
        <f>beregningsark!C100</f>
        <v>1.03</v>
      </c>
      <c r="E93" s="9">
        <f>beregningsark!U100*1000</f>
        <v>974.81842974561039</v>
      </c>
      <c r="F93" s="9">
        <f>beregningsark!V100</f>
        <v>640.14732256025979</v>
      </c>
      <c r="G93" s="8">
        <f t="shared" si="1"/>
        <v>63.273111707863116</v>
      </c>
      <c r="H93" s="8">
        <f>beregningsark!T100</f>
        <v>2.6086909340271949</v>
      </c>
      <c r="I93" s="55">
        <f>beregningsark!X100</f>
        <v>1.9726676220789632</v>
      </c>
    </row>
    <row r="94" spans="1:9" x14ac:dyDescent="0.25">
      <c r="A94" s="7">
        <v>90</v>
      </c>
      <c r="B94" s="8">
        <f>beregningsark!B101</f>
        <v>64.247930137608719</v>
      </c>
      <c r="C94" s="8">
        <f>beregningsark!N101</f>
        <v>6</v>
      </c>
      <c r="D94" s="8">
        <f>beregningsark!C101</f>
        <v>1.03</v>
      </c>
      <c r="E94" s="9">
        <f>beregningsark!U101*1000</f>
        <v>985.43241775987383</v>
      </c>
      <c r="F94" s="9">
        <f>beregningsark!V101</f>
        <v>643.86589041787465</v>
      </c>
      <c r="G94" s="8">
        <f t="shared" si="1"/>
        <v>64.247930137608719</v>
      </c>
      <c r="H94" s="8">
        <f>beregningsark!T101</f>
        <v>2.6096157926749237</v>
      </c>
      <c r="I94" s="55">
        <f>beregningsark!X101</f>
        <v>1.9833670076266896</v>
      </c>
    </row>
    <row r="95" spans="1:9" x14ac:dyDescent="0.25">
      <c r="A95" s="13">
        <v>91</v>
      </c>
      <c r="B95" s="56">
        <f>beregningsark!B102</f>
        <v>65.233362555368586</v>
      </c>
      <c r="C95" s="56">
        <f>beregningsark!N102</f>
        <v>6</v>
      </c>
      <c r="D95" s="56">
        <f>beregningsark!C102</f>
        <v>1.03</v>
      </c>
      <c r="E95" s="63">
        <f>beregningsark!U102*1000</f>
        <v>995.9606007233599</v>
      </c>
      <c r="F95" s="63">
        <f>beregningsark!V102</f>
        <v>647.61936874031414</v>
      </c>
      <c r="G95" s="56">
        <f t="shared" si="1"/>
        <v>65.233362555368586</v>
      </c>
      <c r="H95" s="56">
        <f>beregningsark!T102</f>
        <v>2.6105450337208485</v>
      </c>
      <c r="I95" s="57">
        <f>beregningsark!X102</f>
        <v>1.9938385949858783</v>
      </c>
    </row>
    <row r="96" spans="1:9" x14ac:dyDescent="0.25">
      <c r="A96" s="7">
        <v>92</v>
      </c>
      <c r="B96" s="8">
        <f>beregningsark!B103</f>
        <v>66.229323156091951</v>
      </c>
      <c r="C96" s="8">
        <f>beregningsark!N103</f>
        <v>6</v>
      </c>
      <c r="D96" s="8">
        <f>beregningsark!C103</f>
        <v>1.03</v>
      </c>
      <c r="E96" s="9">
        <f>beregningsark!U103*1000</f>
        <v>1003.8183294302019</v>
      </c>
      <c r="F96" s="9">
        <f>beregningsark!V103</f>
        <v>651.40568647926034</v>
      </c>
      <c r="G96" s="8">
        <f t="shared" si="1"/>
        <v>66.229323156091951</v>
      </c>
      <c r="H96" s="8">
        <f>beregningsark!T103</f>
        <v>2.6114785147308637</v>
      </c>
      <c r="I96" s="55">
        <f>beregningsark!X103</f>
        <v>2.004087589682392</v>
      </c>
    </row>
    <row r="97" spans="1:9" x14ac:dyDescent="0.25">
      <c r="A97" s="7">
        <v>93</v>
      </c>
      <c r="B97" s="8">
        <f>beregningsark!B104</f>
        <v>67.233141485522154</v>
      </c>
      <c r="C97" s="8">
        <f>beregningsark!N104</f>
        <v>6</v>
      </c>
      <c r="D97" s="8">
        <f>beregningsark!C104</f>
        <v>1.03</v>
      </c>
      <c r="E97" s="9">
        <f>beregningsark!U104*1000</f>
        <v>1011.6697842042133</v>
      </c>
      <c r="F97" s="9">
        <f>beregningsark!V104</f>
        <v>655.19506973679745</v>
      </c>
      <c r="G97" s="8">
        <f t="shared" si="1"/>
        <v>67.233141485522154</v>
      </c>
      <c r="H97" s="8">
        <f>beregningsark!T104</f>
        <v>2.6124136959165232</v>
      </c>
      <c r="I97" s="55">
        <f>beregningsark!X104</f>
        <v>2.0140938051642916</v>
      </c>
    </row>
    <row r="98" spans="1:9" x14ac:dyDescent="0.25">
      <c r="A98" s="7">
        <v>94</v>
      </c>
      <c r="B98" s="8">
        <f>beregningsark!B105</f>
        <v>68.24481126972637</v>
      </c>
      <c r="C98" s="8">
        <f>beregningsark!N105</f>
        <v>6</v>
      </c>
      <c r="D98" s="8">
        <f>beregningsark!C105</f>
        <v>1.03</v>
      </c>
      <c r="E98" s="9">
        <f>beregningsark!U105*1000</f>
        <v>1013.0012373385599</v>
      </c>
      <c r="F98" s="9">
        <f>beregningsark!V105</f>
        <v>658.98735393325921</v>
      </c>
      <c r="G98" s="8">
        <f t="shared" si="1"/>
        <v>68.24481126972637</v>
      </c>
      <c r="H98" s="8">
        <f>beregningsark!T105</f>
        <v>2.6301547340652811</v>
      </c>
      <c r="I98" s="55">
        <f>beregningsark!X105</f>
        <v>2.0238654412764223</v>
      </c>
    </row>
    <row r="99" spans="1:9" x14ac:dyDescent="0.25">
      <c r="A99" s="7">
        <v>95</v>
      </c>
      <c r="B99" s="8">
        <f>beregningsark!B106</f>
        <v>69.257812507064926</v>
      </c>
      <c r="C99" s="8">
        <f>beregningsark!N106</f>
        <v>6</v>
      </c>
      <c r="D99" s="8">
        <f>beregningsark!C106</f>
        <v>1.03</v>
      </c>
      <c r="E99" s="9">
        <f>beregningsark!U106*1000</f>
        <v>1017.0934440699908</v>
      </c>
      <c r="F99" s="9">
        <f>beregningsark!V106</f>
        <v>662.71381586384132</v>
      </c>
      <c r="G99" s="8">
        <f t="shared" si="1"/>
        <v>69.257812507064926</v>
      </c>
      <c r="H99" s="8">
        <f>beregningsark!T106</f>
        <v>2.6406619919331411</v>
      </c>
      <c r="I99" s="55">
        <f>beregningsark!X106</f>
        <v>2.0336207326266633</v>
      </c>
    </row>
    <row r="100" spans="1:9" x14ac:dyDescent="0.25">
      <c r="A100" s="7">
        <v>96</v>
      </c>
      <c r="B100" s="8">
        <f>beregningsark!B107</f>
        <v>70.274905951134912</v>
      </c>
      <c r="C100" s="8">
        <f>beregningsark!N107</f>
        <v>6</v>
      </c>
      <c r="D100" s="8">
        <f>beregningsark!C107</f>
        <v>1.03</v>
      </c>
      <c r="E100" s="9">
        <f>beregningsark!U107*1000</f>
        <v>1021.1263429355395</v>
      </c>
      <c r="F100" s="9">
        <f>beregningsark!V107</f>
        <v>666.40527032432203</v>
      </c>
      <c r="G100" s="8">
        <f t="shared" si="1"/>
        <v>70.274905951134912</v>
      </c>
      <c r="H100" s="8">
        <f>beregningsark!T107</f>
        <v>2.651239015357477</v>
      </c>
      <c r="I100" s="55">
        <f>beregningsark!X107</f>
        <v>2.043271668035497</v>
      </c>
    </row>
    <row r="101" spans="1:9" x14ac:dyDescent="0.25">
      <c r="A101" s="7">
        <v>97</v>
      </c>
      <c r="B101" s="8">
        <f>beregningsark!B108</f>
        <v>71.296032294070457</v>
      </c>
      <c r="C101" s="8">
        <f>beregningsark!N108</f>
        <v>6</v>
      </c>
      <c r="D101" s="8">
        <f>beregningsark!C108</f>
        <v>1.03</v>
      </c>
      <c r="E101" s="9">
        <f>beregningsark!U108*1000</f>
        <v>1025.1006502753239</v>
      </c>
      <c r="F101" s="9">
        <f>beregningsark!V108</f>
        <v>670.06218859866453</v>
      </c>
      <c r="G101" s="8">
        <f t="shared" si="1"/>
        <v>71.296032294070457</v>
      </c>
      <c r="H101" s="8">
        <f>beregningsark!T108</f>
        <v>2.6618849566304736</v>
      </c>
      <c r="I101" s="55">
        <f>beregningsark!X108</f>
        <v>2.0528231968301514</v>
      </c>
    </row>
    <row r="102" spans="1:9" x14ac:dyDescent="0.25">
      <c r="A102" s="13">
        <v>98</v>
      </c>
      <c r="B102" s="56">
        <f>beregningsark!B109</f>
        <v>72.321132944345777</v>
      </c>
      <c r="C102" s="56">
        <f>beregningsark!N109</f>
        <v>6</v>
      </c>
      <c r="D102" s="56">
        <f>beregningsark!C109</f>
        <v>1.03</v>
      </c>
      <c r="E102" s="63">
        <f>beregningsark!U109*1000</f>
        <v>1028.9609502954295</v>
      </c>
      <c r="F102" s="63">
        <f>beregningsark!V109</f>
        <v>673.68503004434467</v>
      </c>
      <c r="G102" s="56">
        <f t="shared" si="1"/>
        <v>72.321132944345777</v>
      </c>
      <c r="H102" s="56">
        <f>beregningsark!T109</f>
        <v>2.6725989933927381</v>
      </c>
      <c r="I102" s="57">
        <f>beregningsark!X109</f>
        <v>2.0622800113103792</v>
      </c>
    </row>
    <row r="103" spans="1:9" x14ac:dyDescent="0.25">
      <c r="A103" s="7">
        <v>99</v>
      </c>
      <c r="B103" s="8">
        <f>beregningsark!B110</f>
        <v>73.350093894641205</v>
      </c>
      <c r="C103" s="8">
        <f>beregningsark!N110</f>
        <v>6</v>
      </c>
      <c r="D103" s="8">
        <f>beregningsark!C110</f>
        <v>1.03</v>
      </c>
      <c r="E103" s="9">
        <f>beregningsark!U110*1000</f>
        <v>1032.8206525811202</v>
      </c>
      <c r="F103" s="9">
        <f>beregningsark!V110</f>
        <v>677.27367570344654</v>
      </c>
      <c r="G103" s="8">
        <f t="shared" si="1"/>
        <v>73.350093894641205</v>
      </c>
      <c r="H103" s="8">
        <f>beregningsark!T110</f>
        <v>2.6833797262611614</v>
      </c>
      <c r="I103" s="55">
        <f>beregningsark!X110</f>
        <v>2.0716460593396873</v>
      </c>
    </row>
    <row r="104" spans="1:9" x14ac:dyDescent="0.25">
      <c r="A104" s="7">
        <v>100</v>
      </c>
      <c r="B104" s="8">
        <f>beregningsark!B111</f>
        <v>74.382914547222327</v>
      </c>
      <c r="C104" s="8">
        <f>beregningsark!N111</f>
        <v>6</v>
      </c>
      <c r="D104" s="8">
        <f>beregningsark!C111</f>
        <v>1.03</v>
      </c>
      <c r="E104" s="9">
        <f>beregningsark!U111*1000</f>
        <v>1036.6238682660348</v>
      </c>
      <c r="F104" s="9">
        <f>beregningsark!V111</f>
        <v>680.82914547222333</v>
      </c>
      <c r="G104" s="8">
        <f t="shared" si="1"/>
        <v>74.382914547222327</v>
      </c>
      <c r="H104" s="8">
        <f>beregningsark!T111</f>
        <v>2.6942269857935028</v>
      </c>
      <c r="I104" s="55">
        <f>beregningsark!X111</f>
        <v>2.0809260845747617</v>
      </c>
    </row>
    <row r="105" spans="1:9" x14ac:dyDescent="0.25">
      <c r="A105" s="7">
        <v>101</v>
      </c>
      <c r="B105" s="8">
        <f>beregningsark!B112</f>
        <v>75.419538415488361</v>
      </c>
      <c r="C105" s="8">
        <f>beregningsark!N112</f>
        <v>6</v>
      </c>
      <c r="D105" s="8">
        <f>beregningsark!C112</f>
        <v>1.03</v>
      </c>
      <c r="E105" s="9">
        <f>beregningsark!U112*1000</f>
        <v>1040.3712856595926</v>
      </c>
      <c r="F105" s="9">
        <f>beregningsark!V112</f>
        <v>684.35186549988475</v>
      </c>
      <c r="G105" s="8">
        <f t="shared" si="1"/>
        <v>75.419538415488361</v>
      </c>
      <c r="H105" s="8">
        <f>beregningsark!T112</f>
        <v>2.7051400195226556</v>
      </c>
      <c r="I105" s="55">
        <f>beregningsark!X112</f>
        <v>2.0901240967028341</v>
      </c>
    </row>
    <row r="106" spans="1:9" x14ac:dyDescent="0.25">
      <c r="A106" s="7">
        <v>102</v>
      </c>
      <c r="B106" s="8">
        <f>beregningsark!B113</f>
        <v>76.45990970114795</v>
      </c>
      <c r="C106" s="8">
        <f>beregningsark!N113</f>
        <v>6</v>
      </c>
      <c r="D106" s="8">
        <f>beregningsark!C113</f>
        <v>1.03</v>
      </c>
      <c r="E106" s="9">
        <f>beregningsark!U113*1000</f>
        <v>1044.063586083266</v>
      </c>
      <c r="F106" s="9">
        <f>beregningsark!V113</f>
        <v>687.84225197203875</v>
      </c>
      <c r="G106" s="8">
        <f t="shared" si="1"/>
        <v>76.45990970114795</v>
      </c>
      <c r="H106" s="8">
        <f>beregningsark!T113</f>
        <v>2.7161180964449803</v>
      </c>
      <c r="I106" s="55">
        <f>beregningsark!X113</f>
        <v>2.0992439047107214</v>
      </c>
    </row>
    <row r="107" spans="1:9" x14ac:dyDescent="0.25">
      <c r="A107" s="7">
        <v>103</v>
      </c>
      <c r="B107" s="8">
        <f>beregningsark!B114</f>
        <v>77.503973287231219</v>
      </c>
      <c r="C107" s="8">
        <f>beregningsark!N114</f>
        <v>6</v>
      </c>
      <c r="D107" s="8">
        <f>beregningsark!C114</f>
        <v>1.03</v>
      </c>
      <c r="E107" s="9">
        <f>beregningsark!U114*1000</f>
        <v>1047.7014438750412</v>
      </c>
      <c r="F107" s="9">
        <f>beregningsark!V114</f>
        <v>691.30071152651669</v>
      </c>
      <c r="G107" s="8">
        <f t="shared" si="1"/>
        <v>77.503973287231219</v>
      </c>
      <c r="H107" s="8">
        <f>beregningsark!T114</f>
        <v>2.7271605061763986</v>
      </c>
      <c r="I107" s="55">
        <f>beregningsark!X114</f>
        <v>2.1082891286083574</v>
      </c>
    </row>
    <row r="108" spans="1:9" x14ac:dyDescent="0.25">
      <c r="A108" s="7">
        <v>104</v>
      </c>
      <c r="B108" s="8">
        <f>beregningsark!B115</f>
        <v>78.55167473110626</v>
      </c>
      <c r="C108" s="8">
        <f>beregningsark!N115</f>
        <v>6</v>
      </c>
      <c r="D108" s="8">
        <f>beregningsark!C115</f>
        <v>1.03</v>
      </c>
      <c r="E108" s="9">
        <f>beregningsark!U115*1000</f>
        <v>1051.2855263958854</v>
      </c>
      <c r="F108" s="9">
        <f>beregningsark!V115</f>
        <v>694.72764164525256</v>
      </c>
      <c r="G108" s="8">
        <f t="shared" si="1"/>
        <v>78.55167473110626</v>
      </c>
      <c r="H108" s="8">
        <f>beregningsark!T115</f>
        <v>2.7382665581528816</v>
      </c>
      <c r="I108" s="55">
        <f>beregningsark!X115</f>
        <v>2.1172632103616738</v>
      </c>
    </row>
    <row r="109" spans="1:9" x14ac:dyDescent="0.25">
      <c r="A109" s="13">
        <v>105</v>
      </c>
      <c r="B109" s="56">
        <f>beregningsark!B116</f>
        <v>79.602960257502147</v>
      </c>
      <c r="C109" s="56">
        <f>beregningsark!N116</f>
        <v>6</v>
      </c>
      <c r="D109" s="56">
        <f>beregningsark!C116</f>
        <v>1.03</v>
      </c>
      <c r="E109" s="63">
        <f>beregningsark!U116*1000</f>
        <v>1054.7619373863402</v>
      </c>
      <c r="F109" s="63">
        <f>beregningsark!V116</f>
        <v>698.12343102382999</v>
      </c>
      <c r="G109" s="56">
        <f t="shared" si="1"/>
        <v>79.602960257502147</v>
      </c>
      <c r="H109" s="56">
        <f>beregningsark!T116</f>
        <v>2.7494355808724849</v>
      </c>
      <c r="I109" s="57">
        <f>beregningsark!X116</f>
        <v>2.1261694240955107</v>
      </c>
    </row>
    <row r="110" spans="1:9" x14ac:dyDescent="0.25">
      <c r="A110" s="7">
        <v>106</v>
      </c>
      <c r="B110" s="8">
        <f>beregningsark!B117</f>
        <v>80.657722194888493</v>
      </c>
      <c r="C110" s="8">
        <f>beregningsark!N117</f>
        <v>6</v>
      </c>
      <c r="D110" s="8">
        <f>beregningsark!C117</f>
        <v>1.03</v>
      </c>
      <c r="E110" s="9">
        <f>beregningsark!U117*1000</f>
        <v>1055.6509343645212</v>
      </c>
      <c r="F110" s="9">
        <f>beregningsark!V117</f>
        <v>701.48794523479705</v>
      </c>
      <c r="G110" s="8">
        <f t="shared" si="1"/>
        <v>80.657722194888493</v>
      </c>
      <c r="H110" s="8">
        <f>beregningsark!T117</f>
        <v>2.7606663387783055</v>
      </c>
      <c r="I110" s="55">
        <f>beregningsark!X117</f>
        <v>2.1350104348153711</v>
      </c>
    </row>
    <row r="111" spans="1:9" x14ac:dyDescent="0.25">
      <c r="A111" s="7">
        <v>107</v>
      </c>
      <c r="B111" s="8">
        <f>beregningsark!B118</f>
        <v>81.713373129253014</v>
      </c>
      <c r="C111" s="8">
        <f>beregningsark!N118</f>
        <v>6</v>
      </c>
      <c r="D111" s="8">
        <f>beregningsark!C118</f>
        <v>1.03</v>
      </c>
      <c r="E111" s="9">
        <f>beregningsark!U118*1000</f>
        <v>1056.5197494552444</v>
      </c>
      <c r="F111" s="9">
        <f>beregningsark!V118</f>
        <v>704.79787971264511</v>
      </c>
      <c r="G111" s="8">
        <f t="shared" si="1"/>
        <v>81.713373129253014</v>
      </c>
      <c r="H111" s="8">
        <f>beregningsark!T118</f>
        <v>2.7719311461144236</v>
      </c>
      <c r="I111" s="55">
        <f>beregningsark!X118</f>
        <v>2.1437684867656155</v>
      </c>
    </row>
    <row r="112" spans="1:9" x14ac:dyDescent="0.25">
      <c r="A112" s="7">
        <v>108</v>
      </c>
      <c r="B112" s="8">
        <f>beregningsark!B119</f>
        <v>82.769892878708262</v>
      </c>
      <c r="C112" s="8">
        <f>beregningsark!N119</f>
        <v>6</v>
      </c>
      <c r="D112" s="8">
        <f>beregningsark!C119</f>
        <v>1.03</v>
      </c>
      <c r="E112" s="9">
        <f>beregningsark!U119*1000</f>
        <v>1057.3687172224184</v>
      </c>
      <c r="F112" s="9">
        <f>beregningsark!V119</f>
        <v>708.05456369174328</v>
      </c>
      <c r="G112" s="8">
        <f t="shared" si="1"/>
        <v>82.769892878708262</v>
      </c>
      <c r="H112" s="8">
        <f>beregningsark!T119</f>
        <v>2.7832296833318915</v>
      </c>
      <c r="I112" s="55">
        <f>beregningsark!X119</f>
        <v>2.1524472782545088</v>
      </c>
    </row>
    <row r="113" spans="1:9" x14ac:dyDescent="0.25">
      <c r="A113" s="7">
        <v>109</v>
      </c>
      <c r="B113" s="8">
        <f>beregningsark!B120</f>
        <v>83.827261595930679</v>
      </c>
      <c r="C113" s="8">
        <f>beregningsark!N120</f>
        <v>6</v>
      </c>
      <c r="D113" s="8">
        <f>beregningsark!C120</f>
        <v>1.03</v>
      </c>
      <c r="E113" s="9">
        <f>beregningsark!U120*1000</f>
        <v>1058.1981646765739</v>
      </c>
      <c r="F113" s="9">
        <f>beregningsark!V120</f>
        <v>711.25928069661165</v>
      </c>
      <c r="G113" s="8">
        <f t="shared" si="1"/>
        <v>83.827261595930679</v>
      </c>
      <c r="H113" s="8">
        <f>beregningsark!T120</f>
        <v>2.7945616413952425</v>
      </c>
      <c r="I113" s="55">
        <f>beregningsark!X120</f>
        <v>2.1610503111589776</v>
      </c>
    </row>
    <row r="114" spans="1:9" x14ac:dyDescent="0.25">
      <c r="A114" s="7">
        <v>110</v>
      </c>
      <c r="B114" s="8">
        <f>beregningsark!B121</f>
        <v>84.885459760607247</v>
      </c>
      <c r="C114" s="8">
        <f>beregningsark!N121</f>
        <v>6</v>
      </c>
      <c r="D114" s="8">
        <f>beregningsark!C121</f>
        <v>1.03</v>
      </c>
      <c r="E114" s="9">
        <f>beregningsark!U121*1000</f>
        <v>1059.0084115157401</v>
      </c>
      <c r="F114" s="9">
        <f>beregningsark!V121</f>
        <v>714.41327055097508</v>
      </c>
      <c r="G114" s="8">
        <f t="shared" si="1"/>
        <v>84.885459760607247</v>
      </c>
      <c r="H114" s="8">
        <f>beregningsark!T121</f>
        <v>2.8059267213439263</v>
      </c>
      <c r="I114" s="55">
        <f>beregningsark!X121</f>
        <v>2.1695809035739106</v>
      </c>
    </row>
    <row r="115" spans="1:9" x14ac:dyDescent="0.25">
      <c r="A115" s="7">
        <v>111</v>
      </c>
      <c r="B115" s="8">
        <f>beregningsark!B122</f>
        <v>85.944468172122981</v>
      </c>
      <c r="C115" s="8">
        <f>beregningsark!N122</f>
        <v>6</v>
      </c>
      <c r="D115" s="8">
        <f>beregningsark!C122</f>
        <v>1.03</v>
      </c>
      <c r="E115" s="9">
        <f>beregningsark!U122*1000</f>
        <v>1059.7997703558215</v>
      </c>
      <c r="F115" s="9">
        <f>beregningsark!V122</f>
        <v>717.51773128038724</v>
      </c>
      <c r="G115" s="8">
        <f t="shared" si="1"/>
        <v>85.944468172122981</v>
      </c>
      <c r="H115" s="8">
        <f>beregningsark!T122</f>
        <v>2.8173246338763924</v>
      </c>
      <c r="I115" s="55">
        <f>beregningsark!X122</f>
        <v>2.178042201503541</v>
      </c>
    </row>
    <row r="116" spans="1:9" x14ac:dyDescent="0.25">
      <c r="A116" s="13">
        <v>112</v>
      </c>
      <c r="B116" s="56">
        <f>beregningsark!B123</f>
        <v>87.004267942478805</v>
      </c>
      <c r="C116" s="56">
        <f>beregningsark!N123</f>
        <v>6</v>
      </c>
      <c r="D116" s="56">
        <f>beregningsark!C123</f>
        <v>1.03</v>
      </c>
      <c r="E116" s="63">
        <f>beregningsark!U123*1000</f>
        <v>1060.5371957112138</v>
      </c>
      <c r="F116" s="63">
        <f>beregningsark!V123</f>
        <v>720.57382091498937</v>
      </c>
      <c r="G116" s="56">
        <f t="shared" si="1"/>
        <v>87.004267942478805</v>
      </c>
      <c r="H116" s="56">
        <f>beregningsark!T123</f>
        <v>2.8287550989554404</v>
      </c>
      <c r="I116" s="57">
        <f>beregningsark!X123</f>
        <v>2.1864371896781956</v>
      </c>
    </row>
    <row r="117" spans="1:9" x14ac:dyDescent="0.25">
      <c r="A117" s="7">
        <v>113</v>
      </c>
      <c r="B117" s="8">
        <f>beregningsark!B124</f>
        <v>88.064805138190025</v>
      </c>
      <c r="C117" s="8">
        <f>beregningsark!N124</f>
        <v>6</v>
      </c>
      <c r="D117" s="8">
        <f>beregningsark!C124</f>
        <v>1.03</v>
      </c>
      <c r="E117" s="9">
        <f>beregningsark!U124*1000</f>
        <v>1061.2919725028364</v>
      </c>
      <c r="F117" s="9">
        <f>beregningsark!V124</f>
        <v>723.58234635566396</v>
      </c>
      <c r="G117" s="8">
        <f t="shared" si="1"/>
        <v>88.064805138190025</v>
      </c>
      <c r="H117" s="8">
        <f>beregningsark!T124</f>
        <v>2.8402174689886706</v>
      </c>
      <c r="I117" s="55">
        <f>beregningsark!X124</f>
        <v>2.1947684274657582</v>
      </c>
    </row>
    <row r="118" spans="1:9" x14ac:dyDescent="0.25">
      <c r="A118" s="7">
        <v>114</v>
      </c>
      <c r="B118" s="8">
        <f>beregningsark!B125</f>
        <v>89.126097110692868</v>
      </c>
      <c r="C118" s="8">
        <f>beregningsark!N125</f>
        <v>6</v>
      </c>
      <c r="D118" s="8">
        <f>beregningsark!C125</f>
        <v>1.03</v>
      </c>
      <c r="E118" s="9">
        <f>beregningsark!U125*1000</f>
        <v>1062.028756273729</v>
      </c>
      <c r="F118" s="9">
        <f>beregningsark!V125</f>
        <v>726.54471149730591</v>
      </c>
      <c r="G118" s="8">
        <f t="shared" si="1"/>
        <v>89.126097110692868</v>
      </c>
      <c r="H118" s="8">
        <f>beregningsark!T125</f>
        <v>2.8517118600688849</v>
      </c>
      <c r="I118" s="55">
        <f>beregningsark!X125</f>
        <v>2.2030388870228759</v>
      </c>
    </row>
    <row r="119" spans="1:9" x14ac:dyDescent="0.25">
      <c r="A119" s="7">
        <v>115</v>
      </c>
      <c r="B119" s="8">
        <f>beregningsark!B126</f>
        <v>90.188125866966601</v>
      </c>
      <c r="C119" s="8">
        <f>beregningsark!N126</f>
        <v>6</v>
      </c>
      <c r="D119" s="8">
        <f>beregningsark!C126</f>
        <v>1.03</v>
      </c>
      <c r="E119" s="9">
        <f>beregningsark!U126*1000</f>
        <v>1062.7478334483203</v>
      </c>
      <c r="F119" s="9">
        <f>beregningsark!V126</f>
        <v>729.46196406057913</v>
      </c>
      <c r="G119" s="8">
        <f t="shared" si="1"/>
        <v>90.188125866966601</v>
      </c>
      <c r="H119" s="8">
        <f>beregningsark!T126</f>
        <v>2.8632380177399548</v>
      </c>
      <c r="I119" s="55">
        <f>beregningsark!X126</f>
        <v>2.2112511261648606</v>
      </c>
    </row>
    <row r="120" spans="1:9" x14ac:dyDescent="0.25">
      <c r="A120" s="7">
        <v>116</v>
      </c>
      <c r="B120" s="8">
        <f>beregningsark!B127</f>
        <v>91.250873700414928</v>
      </c>
      <c r="C120" s="8">
        <f>beregningsark!N127</f>
        <v>6</v>
      </c>
      <c r="D120" s="8">
        <f>beregningsark!C127</f>
        <v>1.03</v>
      </c>
      <c r="E120" s="9">
        <f>beregningsark!U127*1000</f>
        <v>1063.4494843823929</v>
      </c>
      <c r="F120" s="9">
        <f>beregningsark!V127</f>
        <v>732.33511810702521</v>
      </c>
      <c r="G120" s="8">
        <f t="shared" si="1"/>
        <v>91.250873700414928</v>
      </c>
      <c r="H120" s="8">
        <f>beregningsark!T127</f>
        <v>2.8747956954208256</v>
      </c>
      <c r="I120" s="55">
        <f>beregningsark!X127</f>
        <v>2.2194075773733752</v>
      </c>
    </row>
    <row r="121" spans="1:9" x14ac:dyDescent="0.25">
      <c r="A121" s="7">
        <v>117</v>
      </c>
      <c r="B121" s="8">
        <f>beregningsark!B128</f>
        <v>92.314323184797317</v>
      </c>
      <c r="C121" s="8">
        <f>beregningsark!N128</f>
        <v>6</v>
      </c>
      <c r="D121" s="8">
        <f>beregningsark!C128</f>
        <v>1.03</v>
      </c>
      <c r="E121" s="9">
        <f>beregningsark!U128*1000</f>
        <v>1064.1339835414585</v>
      </c>
      <c r="F121" s="9">
        <f>beregningsark!V128</f>
        <v>735.16515542561808</v>
      </c>
      <c r="G121" s="8">
        <f t="shared" si="1"/>
        <v>92.314323184797317</v>
      </c>
      <c r="H121" s="8">
        <f>beregningsark!T128</f>
        <v>2.8863846540996545</v>
      </c>
      <c r="I121" s="55">
        <f>beregningsark!X128</f>
        <v>2.2275105552310337</v>
      </c>
    </row>
    <row r="122" spans="1:9" x14ac:dyDescent="0.25">
      <c r="A122" s="7">
        <v>118</v>
      </c>
      <c r="B122" s="8">
        <f>beregningsark!B129</f>
        <v>93.37845716833877</v>
      </c>
      <c r="C122" s="8">
        <f>beregningsark!N129</f>
        <v>6</v>
      </c>
      <c r="D122" s="8">
        <f>beregningsark!C129</f>
        <v>1.03</v>
      </c>
      <c r="E122" s="9">
        <f>beregningsark!U129*1000</f>
        <v>1064.801599671986</v>
      </c>
      <c r="F122" s="9">
        <f>beregningsark!V129</f>
        <v>737.95302685032857</v>
      </c>
      <c r="G122" s="8">
        <f t="shared" si="1"/>
        <v>93.37845716833877</v>
      </c>
      <c r="H122" s="8">
        <f>beregningsark!T129</f>
        <v>2.8980046620427564</v>
      </c>
      <c r="I122" s="55">
        <f>beregningsark!X129</f>
        <v>2.2355622633375054</v>
      </c>
    </row>
    <row r="123" spans="1:9" x14ac:dyDescent="0.25">
      <c r="A123" s="13">
        <v>119</v>
      </c>
      <c r="B123" s="56">
        <f>beregningsark!B130</f>
        <v>94.44325876801075</v>
      </c>
      <c r="C123" s="56">
        <f>beregningsark!N130</f>
        <v>6</v>
      </c>
      <c r="D123" s="56">
        <f>beregningsark!C130</f>
        <v>1.03</v>
      </c>
      <c r="E123" s="63">
        <f>beregningsark!U130*1000</f>
        <v>1065.4182276359479</v>
      </c>
      <c r="F123" s="63">
        <f>beregningsark!V130</f>
        <v>740.69965351269536</v>
      </c>
      <c r="G123" s="56">
        <f t="shared" si="1"/>
        <v>94.44325876801075</v>
      </c>
      <c r="H123" s="56">
        <f>beregningsark!T130</f>
        <v>2.90965549451747</v>
      </c>
      <c r="I123" s="57">
        <f>beregningsark!X130</f>
        <v>2.2435648007486582</v>
      </c>
    </row>
    <row r="124" spans="1:9" x14ac:dyDescent="0.25">
      <c r="A124" s="7">
        <v>120</v>
      </c>
      <c r="B124" s="8">
        <f>beregningsark!B131</f>
        <v>95.508676995646695</v>
      </c>
      <c r="C124" s="8">
        <f>beregningsark!N131</f>
        <v>6</v>
      </c>
      <c r="D124" s="8">
        <f>beregningsark!C131</f>
        <v>1.03</v>
      </c>
      <c r="E124" s="9">
        <f>beregningsark!U131*1000</f>
        <v>1066.0531326701607</v>
      </c>
      <c r="F124" s="9">
        <f>beregningsark!V131</f>
        <v>743.40564163038914</v>
      </c>
      <c r="G124" s="8">
        <f t="shared" si="1"/>
        <v>95.508676995646695</v>
      </c>
      <c r="H124" s="8">
        <f>beregningsark!T131</f>
        <v>2.9213365680935262</v>
      </c>
      <c r="I124" s="55">
        <f>beregningsark!X131</f>
        <v>2.2515199144248155</v>
      </c>
    </row>
    <row r="125" spans="1:9" x14ac:dyDescent="0.25">
      <c r="A125" s="7">
        <v>121</v>
      </c>
      <c r="B125" s="8">
        <f>beregningsark!B132</f>
        <v>96.574730128316858</v>
      </c>
      <c r="C125" s="8">
        <f>beregningsark!N132</f>
        <v>6</v>
      </c>
      <c r="D125" s="8">
        <f>beregningsark!C132</f>
        <v>1.03</v>
      </c>
      <c r="E125" s="9">
        <f>beregningsark!U132*1000</f>
        <v>1066.6719258094884</v>
      </c>
      <c r="F125" s="9">
        <f>beregningsark!V132</f>
        <v>746.07214982080052</v>
      </c>
      <c r="G125" s="8">
        <f t="shared" si="1"/>
        <v>96.574730128316858</v>
      </c>
      <c r="H125" s="8">
        <f>beregningsark!T132</f>
        <v>2.9330480387638698</v>
      </c>
      <c r="I125" s="55">
        <f>beregningsark!X132</f>
        <v>2.2594297707150885</v>
      </c>
    </row>
    <row r="126" spans="1:9" x14ac:dyDescent="0.25">
      <c r="A126" s="7">
        <v>122</v>
      </c>
      <c r="B126" s="8">
        <f>beregningsark!B133</f>
        <v>97.641402054126345</v>
      </c>
      <c r="C126" s="8">
        <f>beregningsark!N133</f>
        <v>6</v>
      </c>
      <c r="D126" s="8">
        <f>beregningsark!C133</f>
        <v>1.03</v>
      </c>
      <c r="E126" s="9">
        <f>beregningsark!U133*1000</f>
        <v>1067.2748545291752</v>
      </c>
      <c r="F126" s="9">
        <f>beregningsark!V133</f>
        <v>748.7000168371012</v>
      </c>
      <c r="G126" s="8">
        <f t="shared" si="1"/>
        <v>97.641402054126345</v>
      </c>
      <c r="H126" s="8">
        <f>beregningsark!T133</f>
        <v>2.9447897012306918</v>
      </c>
      <c r="I126" s="55">
        <f>beregningsark!X133</f>
        <v>2.2672961892184333</v>
      </c>
    </row>
    <row r="127" spans="1:9" x14ac:dyDescent="0.25">
      <c r="A127" s="7">
        <v>123</v>
      </c>
      <c r="B127" s="8">
        <f>beregningsark!B134</f>
        <v>98.708676908655519</v>
      </c>
      <c r="C127" s="8">
        <f>beregningsark!N134</f>
        <v>6</v>
      </c>
      <c r="D127" s="8">
        <f>beregningsark!C134</f>
        <v>1.03</v>
      </c>
      <c r="E127" s="9">
        <f>beregningsark!U134*1000</f>
        <v>1067.8621613464888</v>
      </c>
      <c r="F127" s="9">
        <f>beregningsark!V134</f>
        <v>751.29005616793108</v>
      </c>
      <c r="G127" s="8">
        <f t="shared" si="1"/>
        <v>98.708676908655519</v>
      </c>
      <c r="H127" s="8">
        <f>beregningsark!T134</f>
        <v>2.9565613562138231</v>
      </c>
      <c r="I127" s="55">
        <f>beregningsark!X134</f>
        <v>2.2751209066980711</v>
      </c>
    </row>
    <row r="128" spans="1:9" x14ac:dyDescent="0.25">
      <c r="A128" s="7">
        <v>124</v>
      </c>
      <c r="B128" s="8">
        <f>beregningsark!B135</f>
        <v>99.776539070002002</v>
      </c>
      <c r="C128" s="8">
        <f>beregningsark!N135</f>
        <v>6</v>
      </c>
      <c r="D128" s="8">
        <f>beregningsark!C135</f>
        <v>1.03</v>
      </c>
      <c r="E128" s="9">
        <f>beregningsark!U135*1000</f>
        <v>1068.4340839560882</v>
      </c>
      <c r="F128" s="9">
        <f>beregningsark!V135</f>
        <v>753.84305701614517</v>
      </c>
      <c r="G128" s="8">
        <f t="shared" si="1"/>
        <v>99.776539070002002</v>
      </c>
      <c r="H128" s="8">
        <f>beregningsark!T135</f>
        <v>2.9683628102324242</v>
      </c>
      <c r="I128" s="55">
        <f>beregningsark!X135</f>
        <v>2.2829055816388482</v>
      </c>
    </row>
    <row r="129" spans="1:9" x14ac:dyDescent="0.25">
      <c r="A129" s="7">
        <v>125</v>
      </c>
      <c r="B129" s="8">
        <f>beregningsark!B136</f>
        <v>100.84497315395809</v>
      </c>
      <c r="C129" s="8">
        <f>beregningsark!N136</f>
        <v>6</v>
      </c>
      <c r="D129" s="8">
        <f>beregningsark!C136</f>
        <v>1.03</v>
      </c>
      <c r="E129" s="9">
        <f>beregningsark!U136*1000</f>
        <v>1068.99085536039</v>
      </c>
      <c r="F129" s="9">
        <f>beregningsark!V136</f>
        <v>756.35978523166477</v>
      </c>
      <c r="G129" s="8">
        <f t="shared" si="1"/>
        <v>100.84497315395809</v>
      </c>
      <c r="H129" s="8">
        <f>beregningsark!T136</f>
        <v>2.9801938753965938</v>
      </c>
      <c r="I129" s="55">
        <f>beregningsark!X136</f>
        <v>2.2906517985099542</v>
      </c>
    </row>
    <row r="130" spans="1:9" x14ac:dyDescent="0.25">
      <c r="A130" s="13">
        <v>126</v>
      </c>
      <c r="B130" s="56">
        <f>beregningsark!B137</f>
        <v>101.91396400931848</v>
      </c>
      <c r="C130" s="56">
        <f>beregningsark!N137</f>
        <v>6</v>
      </c>
      <c r="D130" s="56">
        <f>beregningsark!C137</f>
        <v>1.03</v>
      </c>
      <c r="E130" s="63">
        <f>beregningsark!U137*1000</f>
        <v>1069.4992821426172</v>
      </c>
      <c r="F130" s="63">
        <f>beregningsark!V137</f>
        <v>758.84098420094028</v>
      </c>
      <c r="G130" s="56">
        <f t="shared" si="1"/>
        <v>101.91396400931848</v>
      </c>
      <c r="H130" s="56">
        <f>beregningsark!T137</f>
        <v>2.9920543692083394</v>
      </c>
      <c r="I130" s="57">
        <f>beregningsark!X137</f>
        <v>2.298361071754877</v>
      </c>
    </row>
    <row r="131" spans="1:9" x14ac:dyDescent="0.25">
      <c r="A131" s="7">
        <v>127</v>
      </c>
      <c r="B131" s="8">
        <f>beregningsark!B138</f>
        <v>102.98346329146109</v>
      </c>
      <c r="C131" s="8">
        <f>beregningsark!N138</f>
        <v>6</v>
      </c>
      <c r="D131" s="8">
        <f>beregningsark!C138</f>
        <v>1.03</v>
      </c>
      <c r="E131" s="9">
        <f>beregningsark!U138*1000</f>
        <v>1074.7870994856523</v>
      </c>
      <c r="F131" s="9">
        <f>beregningsark!V138</f>
        <v>761.28711253118979</v>
      </c>
      <c r="G131" s="8">
        <f t="shared" si="1"/>
        <v>102.98346329146109</v>
      </c>
      <c r="H131" s="8">
        <f>beregningsark!T138</f>
        <v>3.00394375922922</v>
      </c>
      <c r="I131" s="55">
        <f>beregningsark!X138</f>
        <v>2.3060346123831961</v>
      </c>
    </row>
    <row r="132" spans="1:9" x14ac:dyDescent="0.25">
      <c r="A132" s="7">
        <v>128</v>
      </c>
      <c r="B132" s="8">
        <f>beregningsark!B139</f>
        <v>104.05825039094674</v>
      </c>
      <c r="C132" s="8">
        <f>beregningsark!N139</f>
        <v>6</v>
      </c>
      <c r="D132" s="8">
        <f>beregningsark!C139</f>
        <v>1.03</v>
      </c>
      <c r="E132" s="9">
        <f>beregningsark!U139*1000</f>
        <v>1080.0046957514858</v>
      </c>
      <c r="F132" s="9">
        <f>beregningsark!V139</f>
        <v>763.73633117927147</v>
      </c>
      <c r="G132" s="8">
        <f t="shared" si="1"/>
        <v>104.05825039094674</v>
      </c>
      <c r="H132" s="8">
        <f>beregningsark!T139</f>
        <v>3.0159128129841921</v>
      </c>
      <c r="I132" s="55">
        <f>beregningsark!X139</f>
        <v>2.3137076603831694</v>
      </c>
    </row>
    <row r="133" spans="1:9" x14ac:dyDescent="0.25">
      <c r="A133" s="7">
        <v>129</v>
      </c>
      <c r="B133" s="8">
        <f>beregningsark!B140</f>
        <v>105.13825508669822</v>
      </c>
      <c r="C133" s="8">
        <f>beregningsark!N140</f>
        <v>6</v>
      </c>
      <c r="D133" s="8">
        <f>beregningsark!C140</f>
        <v>1.03</v>
      </c>
      <c r="E133" s="9">
        <f>beregningsark!U140*1000</f>
        <v>1085.1527205611051</v>
      </c>
      <c r="F133" s="9">
        <f>beregningsark!V140</f>
        <v>766.18802392789325</v>
      </c>
      <c r="G133" s="8">
        <f t="shared" ref="G133:G156" si="2">B133</f>
        <v>105.13825508669822</v>
      </c>
      <c r="H133" s="8">
        <f>beregningsark!T140</f>
        <v>3.0279608922705328</v>
      </c>
      <c r="I133" s="55">
        <f>beregningsark!X140</f>
        <v>2.3213806495666063</v>
      </c>
    </row>
    <row r="134" spans="1:9" x14ac:dyDescent="0.25">
      <c r="A134" s="7">
        <v>130</v>
      </c>
      <c r="B134" s="8">
        <f>beregningsark!B141</f>
        <v>106.22340780725933</v>
      </c>
      <c r="C134" s="8">
        <f>beregningsark!N141</f>
        <v>6</v>
      </c>
      <c r="D134" s="8">
        <f>beregningsark!C141</f>
        <v>1.03</v>
      </c>
      <c r="E134" s="9">
        <f>beregningsark!U141*1000</f>
        <v>1090.2318244401727</v>
      </c>
      <c r="F134" s="9">
        <f>beregningsark!V141</f>
        <v>768.64159851737952</v>
      </c>
      <c r="G134" s="8">
        <f t="shared" si="2"/>
        <v>106.22340780725933</v>
      </c>
      <c r="H134" s="8">
        <f>beregningsark!T141</f>
        <v>3.040087370135176</v>
      </c>
      <c r="I134" s="55">
        <f>beregningsark!X141</f>
        <v>2.3290540014817434</v>
      </c>
    </row>
    <row r="135" spans="1:9" x14ac:dyDescent="0.25">
      <c r="A135" s="7">
        <v>131</v>
      </c>
      <c r="B135" s="8">
        <f>beregningsark!B142</f>
        <v>107.3136396316995</v>
      </c>
      <c r="C135" s="8">
        <f>beregningsark!N142</f>
        <v>6</v>
      </c>
      <c r="D135" s="8">
        <f>beregningsark!C142</f>
        <v>1.03</v>
      </c>
      <c r="E135" s="9">
        <f>beregningsark!U142*1000</f>
        <v>1095.2426584732834</v>
      </c>
      <c r="F135" s="9">
        <f>beregningsark!V142</f>
        <v>771.09648573816412</v>
      </c>
      <c r="G135" s="8">
        <f t="shared" si="2"/>
        <v>107.3136396316995</v>
      </c>
      <c r="H135" s="8">
        <f>beregningsark!T142</f>
        <v>3.052291630660172</v>
      </c>
      <c r="I135" s="55">
        <f>beregningsark!X142</f>
        <v>2.3367281255858869</v>
      </c>
    </row>
    <row r="136" spans="1:9" x14ac:dyDescent="0.25">
      <c r="A136" s="7">
        <v>132</v>
      </c>
      <c r="B136" s="8">
        <f>beregningsark!B143</f>
        <v>108.40888229017278</v>
      </c>
      <c r="C136" s="8">
        <f>beregningsark!N143</f>
        <v>6</v>
      </c>
      <c r="D136" s="8">
        <f>beregningsark!C143</f>
        <v>1.03</v>
      </c>
      <c r="E136" s="9">
        <f>beregningsark!U143*1000</f>
        <v>1100.1858739726249</v>
      </c>
      <c r="F136" s="9">
        <f>beregningsark!V143</f>
        <v>773.55213856191506</v>
      </c>
      <c r="G136" s="8">
        <f t="shared" si="2"/>
        <v>108.40888229017278</v>
      </c>
      <c r="H136" s="8">
        <f>beregningsark!T143</f>
        <v>3.0645730687539197</v>
      </c>
      <c r="I136" s="55">
        <f>beregningsark!X143</f>
        <v>2.3444034194293435</v>
      </c>
    </row>
    <row r="137" spans="1:9" x14ac:dyDescent="0.25">
      <c r="A137" s="13">
        <v>133</v>
      </c>
      <c r="B137" s="56">
        <f>beregningsark!B144</f>
        <v>109.5090681641454</v>
      </c>
      <c r="C137" s="56">
        <f>beregningsark!N144</f>
        <v>4</v>
      </c>
      <c r="D137" s="56">
        <f>beregningsark!C144</f>
        <v>1.02</v>
      </c>
      <c r="E137" s="63">
        <f>beregningsark!U144*1000</f>
        <v>856.05469180127375</v>
      </c>
      <c r="F137" s="63">
        <f>beregningsark!V144</f>
        <v>776.0080313093639</v>
      </c>
      <c r="G137" s="56">
        <f t="shared" si="2"/>
        <v>109.5090681641454</v>
      </c>
      <c r="H137" s="56">
        <f>beregningsark!T144</f>
        <v>3.9717088552436581</v>
      </c>
      <c r="I137" s="57">
        <f>beregningsark!X144</f>
        <v>2.3520802688491118</v>
      </c>
    </row>
    <row r="138" spans="1:9" x14ac:dyDescent="0.25">
      <c r="A138" s="7">
        <v>134</v>
      </c>
      <c r="B138" s="8">
        <f>beregningsark!B145</f>
        <v>110.36512285594668</v>
      </c>
      <c r="C138" s="8">
        <f>beregningsark!N145</f>
        <v>4</v>
      </c>
      <c r="D138" s="8">
        <f>beregningsark!C145</f>
        <v>1.02</v>
      </c>
      <c r="E138" s="9">
        <f>beregningsark!U145*1000</f>
        <v>855.84357505902483</v>
      </c>
      <c r="F138" s="9">
        <f>beregningsark!V145</f>
        <v>776.60539444736332</v>
      </c>
      <c r="G138" s="8">
        <f t="shared" si="2"/>
        <v>110.36512285594668</v>
      </c>
      <c r="H138" s="8">
        <f>beregningsark!T145</f>
        <v>3.97268858361823</v>
      </c>
      <c r="I138" s="55">
        <f>beregningsark!X145</f>
        <v>2.3654035669177431</v>
      </c>
    </row>
    <row r="139" spans="1:9" x14ac:dyDescent="0.25">
      <c r="A139" s="7">
        <v>135</v>
      </c>
      <c r="B139" s="8">
        <f>beregningsark!B146</f>
        <v>111.22096643100571</v>
      </c>
      <c r="C139" s="8">
        <f>beregningsark!N146</f>
        <v>4</v>
      </c>
      <c r="D139" s="8">
        <f>beregningsark!C146</f>
        <v>1.02</v>
      </c>
      <c r="E139" s="9">
        <f>beregningsark!U146*1000</f>
        <v>855.63326773202868</v>
      </c>
      <c r="F139" s="9">
        <f>beregningsark!V146</f>
        <v>777.1923439333757</v>
      </c>
      <c r="G139" s="8">
        <f t="shared" si="2"/>
        <v>111.22096643100571</v>
      </c>
      <c r="H139" s="8">
        <f>beregningsark!T146</f>
        <v>3.9736650364380508</v>
      </c>
      <c r="I139" s="55">
        <f>beregningsark!X146</f>
        <v>2.3785142406145616</v>
      </c>
    </row>
    <row r="140" spans="1:9" x14ac:dyDescent="0.25">
      <c r="A140" s="7">
        <v>136</v>
      </c>
      <c r="B140" s="8">
        <f>beregningsark!B147</f>
        <v>112.07659969873774</v>
      </c>
      <c r="C140" s="8">
        <f>beregningsark!N147</f>
        <v>4</v>
      </c>
      <c r="D140" s="8">
        <f>beregningsark!C147</f>
        <v>1.02</v>
      </c>
      <c r="E140" s="9">
        <f>beregningsark!U147*1000</f>
        <v>855.42376100253568</v>
      </c>
      <c r="F140" s="9">
        <f>beregningsark!V147</f>
        <v>777.76911543189522</v>
      </c>
      <c r="G140" s="8">
        <f t="shared" si="2"/>
        <v>112.07659969873774</v>
      </c>
      <c r="H140" s="8">
        <f>beregningsark!T147</f>
        <v>3.9746382494861763</v>
      </c>
      <c r="I140" s="55">
        <f>beregningsark!X147</f>
        <v>2.3914175112041161</v>
      </c>
    </row>
    <row r="141" spans="1:9" x14ac:dyDescent="0.25">
      <c r="A141" s="7">
        <v>137</v>
      </c>
      <c r="B141" s="8">
        <f>beregningsark!B148</f>
        <v>112.93202345974028</v>
      </c>
      <c r="C141" s="8">
        <f>beregningsark!N148</f>
        <v>4</v>
      </c>
      <c r="D141" s="8">
        <f>beregningsark!C148</f>
        <v>1.02</v>
      </c>
      <c r="E141" s="9">
        <f>beregningsark!U148*1000</f>
        <v>855.21504621626559</v>
      </c>
      <c r="F141" s="9">
        <f>beregningsark!V148</f>
        <v>778.33593766233776</v>
      </c>
      <c r="G141" s="8">
        <f t="shared" si="2"/>
        <v>112.93202345974028</v>
      </c>
      <c r="H141" s="8">
        <f>beregningsark!T148</f>
        <v>3.9756082578792853</v>
      </c>
      <c r="I141" s="55">
        <f>beregningsark!X148</f>
        <v>2.4041184296946083</v>
      </c>
    </row>
    <row r="142" spans="1:9" x14ac:dyDescent="0.25">
      <c r="A142" s="7">
        <v>138</v>
      </c>
      <c r="B142" s="8">
        <f>beregningsark!B149</f>
        <v>113.78723850595654</v>
      </c>
      <c r="C142" s="8">
        <f>beregningsark!N149</f>
        <v>4</v>
      </c>
      <c r="D142" s="8">
        <f>beregningsark!C149</f>
        <v>1.02</v>
      </c>
      <c r="E142" s="9">
        <f>beregningsark!U149*1000</f>
        <v>855.0071148781351</v>
      </c>
      <c r="F142" s="9">
        <f>beregningsark!V149</f>
        <v>778.8930326518589</v>
      </c>
      <c r="G142" s="8">
        <f t="shared" si="2"/>
        <v>113.78723850595654</v>
      </c>
      <c r="H142" s="8">
        <f>beregningsark!T149</f>
        <v>3.976575096085142</v>
      </c>
      <c r="I142" s="55">
        <f>beregningsark!X149</f>
        <v>2.4166218837298969</v>
      </c>
    </row>
    <row r="143" spans="1:9" x14ac:dyDescent="0.25">
      <c r="A143" s="7">
        <v>139</v>
      </c>
      <c r="B143" s="8">
        <f>beregningsark!B150</f>
        <v>114.64224562083467</v>
      </c>
      <c r="C143" s="8">
        <f>beregningsark!N150</f>
        <v>4</v>
      </c>
      <c r="D143" s="8">
        <f>beregningsark!C150</f>
        <v>1.02</v>
      </c>
      <c r="E143" s="9">
        <f>beregningsark!U150*1000</f>
        <v>854.79995864813191</v>
      </c>
      <c r="F143" s="9">
        <f>beregningsark!V150</f>
        <v>779.44061597722794</v>
      </c>
      <c r="G143" s="8">
        <f t="shared" si="2"/>
        <v>114.64224562083467</v>
      </c>
      <c r="H143" s="8">
        <f>beregningsark!T150</f>
        <v>3.977538797939471</v>
      </c>
      <c r="I143" s="55">
        <f>beregningsark!X150</f>
        <v>2.428932604149229</v>
      </c>
    </row>
    <row r="144" spans="1:9" x14ac:dyDescent="0.25">
      <c r="A144" s="13">
        <v>140</v>
      </c>
      <c r="B144" s="56">
        <f>beregningsark!B151</f>
        <v>115.4970455794828</v>
      </c>
      <c r="C144" s="56">
        <f>beregningsark!N151</f>
        <v>4</v>
      </c>
      <c r="D144" s="56">
        <f>beregningsark!C151</f>
        <v>1.02</v>
      </c>
      <c r="E144" s="63">
        <f>beregningsark!U151*1000</f>
        <v>854.59356933732477</v>
      </c>
      <c r="F144" s="63">
        <f>beregningsark!V151</f>
        <v>779.97889699630571</v>
      </c>
      <c r="G144" s="56">
        <f t="shared" si="2"/>
        <v>115.4970455794828</v>
      </c>
      <c r="H144" s="56">
        <f>beregningsark!T151</f>
        <v>3.9784993966622673</v>
      </c>
      <c r="I144" s="57">
        <f>beregningsark!X151</f>
        <v>2.4410551712332498</v>
      </c>
    </row>
    <row r="145" spans="1:9" x14ac:dyDescent="0.25">
      <c r="A145" s="7">
        <v>141</v>
      </c>
      <c r="B145" s="8">
        <f>beregningsark!B152</f>
        <v>116.35163914882013</v>
      </c>
      <c r="C145" s="8">
        <f>beregningsark!N152</f>
        <v>4</v>
      </c>
      <c r="D145" s="8">
        <f>beregningsark!C152</f>
        <v>1.02</v>
      </c>
      <c r="E145" s="9">
        <f>beregningsark!U152*1000</f>
        <v>854.38793890400564</v>
      </c>
      <c r="F145" s="9">
        <f>beregningsark!V152</f>
        <v>780.50807906964621</v>
      </c>
      <c r="G145" s="8">
        <f t="shared" si="2"/>
        <v>116.35163914882013</v>
      </c>
      <c r="H145" s="8">
        <f>beregningsark!T152</f>
        <v>3.9794569248735674</v>
      </c>
      <c r="I145" s="55">
        <f>beregningsark!X152</f>
        <v>2.4529940206536538</v>
      </c>
    </row>
    <row r="146" spans="1:9" x14ac:dyDescent="0.25">
      <c r="A146" s="7">
        <v>142</v>
      </c>
      <c r="B146" s="8">
        <f>beregningsark!B153</f>
        <v>117.20602708772414</v>
      </c>
      <c r="C146" s="8">
        <f>beregningsark!N153</f>
        <v>4</v>
      </c>
      <c r="D146" s="8">
        <f>beregningsark!C153</f>
        <v>1.02</v>
      </c>
      <c r="E146" s="9">
        <f>beregningsark!U153*1000</f>
        <v>854.18305944995927</v>
      </c>
      <c r="F146" s="9">
        <f>beregningsark!V153</f>
        <v>781.02835977270524</v>
      </c>
      <c r="G146" s="8">
        <f t="shared" si="2"/>
        <v>117.20602708772414</v>
      </c>
      <c r="H146" s="8">
        <f>beregningsark!T153</f>
        <v>3.9804114146087</v>
      </c>
      <c r="I146" s="55">
        <f>beregningsark!X153</f>
        <v>2.4647534491427678</v>
      </c>
    </row>
    <row r="147" spans="1:9" x14ac:dyDescent="0.25">
      <c r="A147" s="7">
        <v>143</v>
      </c>
      <c r="B147" s="8">
        <f>beregningsark!B154</f>
        <v>118.0602101471741</v>
      </c>
      <c r="C147" s="8">
        <f>beregningsark!N154</f>
        <v>4</v>
      </c>
      <c r="D147" s="8">
        <f>beregningsark!C154</f>
        <v>1.02</v>
      </c>
      <c r="E147" s="9">
        <f>beregningsark!U154*1000</f>
        <v>853.97892321685345</v>
      </c>
      <c r="F147" s="9">
        <f>beregningsark!V154</f>
        <v>781.53993109911971</v>
      </c>
      <c r="G147" s="8">
        <f t="shared" si="2"/>
        <v>118.0602101471741</v>
      </c>
      <c r="H147" s="8">
        <f>beregningsark!T154</f>
        <v>3.9813628973330384</v>
      </c>
      <c r="I147" s="55">
        <f>beregningsark!X154</f>
        <v>2.4763376198983207</v>
      </c>
    </row>
    <row r="148" spans="1:9" x14ac:dyDescent="0.25">
      <c r="A148" s="7">
        <v>144</v>
      </c>
      <c r="B148" s="8">
        <f>beregningsark!B155</f>
        <v>118.91418907039096</v>
      </c>
      <c r="C148" s="8">
        <f>beregningsark!N155</f>
        <v>4</v>
      </c>
      <c r="D148" s="8">
        <f>beregningsark!C155</f>
        <v>1.02</v>
      </c>
      <c r="E148" s="9">
        <f>beregningsark!U155*1000</f>
        <v>853.77552258274659</v>
      </c>
      <c r="F148" s="9">
        <f>beregningsark!V155</f>
        <v>782.0429796554929</v>
      </c>
      <c r="G148" s="8">
        <f t="shared" si="2"/>
        <v>118.91418907039096</v>
      </c>
      <c r="H148" s="8">
        <f>beregningsark!T155</f>
        <v>3.9823114039562753</v>
      </c>
      <c r="I148" s="55">
        <f>beregningsark!X155</f>
        <v>2.4877505677377307</v>
      </c>
    </row>
    <row r="149" spans="1:9" x14ac:dyDescent="0.25">
      <c r="A149" s="7">
        <v>145</v>
      </c>
      <c r="B149" s="8">
        <f>beregningsark!B156</f>
        <v>119.76796459297371</v>
      </c>
      <c r="C149" s="8">
        <f>beregningsark!N156</f>
        <v>4</v>
      </c>
      <c r="D149" s="8">
        <f>beregningsark!C156</f>
        <v>1.02</v>
      </c>
      <c r="E149" s="9">
        <f>beregningsark!U156*1000</f>
        <v>853.57285005870733</v>
      </c>
      <c r="F149" s="9">
        <f>beregningsark!V156</f>
        <v>782.53768684809449</v>
      </c>
      <c r="G149" s="8">
        <f t="shared" si="2"/>
        <v>119.76796459297371</v>
      </c>
      <c r="H149" s="8">
        <f>beregningsark!T156</f>
        <v>3.9832569648462384</v>
      </c>
      <c r="I149" s="55">
        <f>beregningsark!X156</f>
        <v>2.4989962040153482</v>
      </c>
    </row>
    <row r="150" spans="1:9" x14ac:dyDescent="0.25">
      <c r="A150" s="7">
        <v>146</v>
      </c>
      <c r="B150" s="8">
        <f>beregningsark!B157</f>
        <v>120.62153744303242</v>
      </c>
      <c r="C150" s="8">
        <f>beregningsark!N157</f>
        <v>4</v>
      </c>
      <c r="D150" s="8">
        <f>beregningsark!C157</f>
        <v>1.02</v>
      </c>
      <c r="E150" s="9">
        <f>beregningsark!U157*1000</f>
        <v>853.37089828554281</v>
      </c>
      <c r="F150" s="9">
        <f>beregningsark!V157</f>
        <v>783.02422906186598</v>
      </c>
      <c r="G150" s="8">
        <f t="shared" si="2"/>
        <v>120.62153744303242</v>
      </c>
      <c r="H150" s="8">
        <f>beregningsark!T157</f>
        <v>3.9841996098422614</v>
      </c>
      <c r="I150" s="55">
        <f>beregningsark!X157</f>
        <v>2.5100783213152842</v>
      </c>
    </row>
    <row r="151" spans="1:9" x14ac:dyDescent="0.25">
      <c r="A151" s="13">
        <v>147</v>
      </c>
      <c r="B151" s="56">
        <f>beregningsark!B158</f>
        <v>121.47490834131797</v>
      </c>
      <c r="C151" s="56">
        <f>beregningsark!N158</f>
        <v>4</v>
      </c>
      <c r="D151" s="56">
        <f>beregningsark!C158</f>
        <v>1.02</v>
      </c>
      <c r="E151" s="63">
        <f>beregningsark!U158*1000</f>
        <v>853.16966003062873</v>
      </c>
      <c r="F151" s="63">
        <f>beregningsark!V158</f>
        <v>783.50277783209515</v>
      </c>
      <c r="G151" s="56">
        <f t="shared" si="2"/>
        <v>121.47490834131797</v>
      </c>
      <c r="H151" s="56">
        <f>beregningsark!T158</f>
        <v>3.9851393682681358</v>
      </c>
      <c r="I151" s="57">
        <f>beregningsark!X158</f>
        <v>2.5210005979316814</v>
      </c>
    </row>
    <row r="152" spans="1:9" x14ac:dyDescent="0.25">
      <c r="A152" s="7">
        <v>148</v>
      </c>
      <c r="B152" s="8">
        <f>beregningsark!B159</f>
        <v>122.3280780013486</v>
      </c>
      <c r="C152" s="8">
        <f>beregningsark!N159</f>
        <v>4</v>
      </c>
      <c r="D152" s="8">
        <f>beregningsark!C159</f>
        <v>1.02</v>
      </c>
      <c r="E152" s="9">
        <f>beregningsark!U159*1000</f>
        <v>852.9691281848402</v>
      </c>
      <c r="F152" s="9">
        <f>beregningsark!V159</f>
        <v>783.97350000911217</v>
      </c>
      <c r="G152" s="8">
        <f t="shared" si="2"/>
        <v>122.3280780013486</v>
      </c>
      <c r="H152" s="8">
        <f>beregningsark!T159</f>
        <v>3.9860762689446516</v>
      </c>
      <c r="I152" s="55">
        <f>beregningsark!X159</f>
        <v>2.531766602147584</v>
      </c>
    </row>
    <row r="153" spans="1:9" x14ac:dyDescent="0.25">
      <c r="A153" s="7">
        <v>149</v>
      </c>
      <c r="B153" s="8">
        <f>beregningsark!B160</f>
        <v>123.18104712953344</v>
      </c>
      <c r="C153" s="8">
        <f>beregningsark!N160</f>
        <v>4</v>
      </c>
      <c r="D153" s="8">
        <f>beregningsark!C160</f>
        <v>1.02</v>
      </c>
      <c r="E153" s="9">
        <f>beregningsark!U160*1000</f>
        <v>852.76929575957865</v>
      </c>
      <c r="F153" s="9">
        <f>beregningsark!V160</f>
        <v>784.43655791633182</v>
      </c>
      <c r="G153" s="8">
        <f t="shared" si="2"/>
        <v>123.18104712953344</v>
      </c>
      <c r="H153" s="8">
        <f>beregningsark!T160</f>
        <v>3.9870103402017447</v>
      </c>
      <c r="I153" s="55">
        <f>beregningsark!X160</f>
        <v>2.5423797963228885</v>
      </c>
    </row>
    <row r="154" spans="1:9" x14ac:dyDescent="0.25">
      <c r="A154" s="7">
        <v>150</v>
      </c>
      <c r="B154" s="8">
        <f>beregningsark!B161</f>
        <v>124.03381642529301</v>
      </c>
      <c r="C154" s="8">
        <f>beregningsark!N161</f>
        <v>4</v>
      </c>
      <c r="D154" s="8">
        <f>beregningsark!C161</f>
        <v>1.02</v>
      </c>
      <c r="E154" s="9">
        <f>beregningsark!U161*1000</f>
        <v>852.57015588388992</v>
      </c>
      <c r="F154" s="9">
        <f>beregningsark!V161</f>
        <v>784.89210950195343</v>
      </c>
      <c r="G154" s="8">
        <f t="shared" si="2"/>
        <v>124.03381642529301</v>
      </c>
      <c r="H154" s="8">
        <f>beregningsark!T161</f>
        <v>3.9879416098902718</v>
      </c>
      <c r="I154" s="55">
        <f>beregningsark!X161</f>
        <v>2.552843540801248</v>
      </c>
    </row>
    <row r="155" spans="1:9" x14ac:dyDescent="0.25">
      <c r="A155" s="7">
        <v>151</v>
      </c>
      <c r="B155" s="8">
        <f>beregningsark!B162</f>
        <v>124.88638658117691</v>
      </c>
      <c r="C155" s="8">
        <f>beregningsark!N162</f>
        <v>4</v>
      </c>
      <c r="D155" s="8">
        <f>beregningsark!C162</f>
        <v>1.02</v>
      </c>
      <c r="E155" s="9">
        <f>beregningsark!U162*1000</f>
        <v>852.37170180167186</v>
      </c>
      <c r="F155" s="9">
        <f>beregningsark!V162</f>
        <v>785.34030848461532</v>
      </c>
      <c r="G155" s="8">
        <f t="shared" si="2"/>
        <v>124.88638658117691</v>
      </c>
      <c r="H155" s="8">
        <f>beregningsark!T162</f>
        <v>3.9888701053934157</v>
      </c>
      <c r="I155" s="55">
        <f>beregningsark!X162</f>
        <v>2.5631610976452142</v>
      </c>
    </row>
    <row r="156" spans="1:9" x14ac:dyDescent="0.25">
      <c r="A156" s="7">
        <v>152</v>
      </c>
      <c r="B156" s="8">
        <f>beregningsark!B163</f>
        <v>125.73875828297858</v>
      </c>
      <c r="C156" s="8">
        <f>beregningsark!N163</f>
        <v>4</v>
      </c>
      <c r="D156" s="8">
        <f>beregningsark!C163</f>
        <v>1.02</v>
      </c>
      <c r="E156" s="9">
        <f>beregningsark!U163*1000</f>
        <v>852.17392686896642</v>
      </c>
      <c r="F156" s="9">
        <f>beregningsark!V163</f>
        <v>785.78130449328012</v>
      </c>
      <c r="G156" s="8">
        <f t="shared" si="2"/>
        <v>125.73875828297858</v>
      </c>
      <c r="H156" s="8">
        <f>beregningsark!T163</f>
        <v>3.989795853637748</v>
      </c>
      <c r="I156" s="55">
        <f>beregningsark!X163</f>
        <v>2.5733356342083717</v>
      </c>
    </row>
  </sheetData>
  <sheetProtection algorithmName="SHA-512" hashValue="UKTVXcUy1y6zco6YK8cf18zZhXU5IvjxZflTnIjPTG9unUclpRC99m9T95uPTzfLZgda4OYod3egJ4tjvATBrg==" saltValue="dW4mr+kjzAAsiplfqNC4E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7012-AE95-49BD-9AA2-00021F1706B8}">
  <dimension ref="A1:S156"/>
  <sheetViews>
    <sheetView workbookViewId="0">
      <selection activeCell="V19" sqref="V19"/>
    </sheetView>
  </sheetViews>
  <sheetFormatPr defaultRowHeight="15" x14ac:dyDescent="0.25"/>
  <cols>
    <col min="1" max="2" width="7.42578125" customWidth="1"/>
    <col min="3" max="3" width="9.85546875" customWidth="1"/>
    <col min="5" max="5" width="15.140625" customWidth="1"/>
    <col min="6" max="6" width="17.85546875" customWidth="1"/>
    <col min="8" max="8" width="16.5703125" customWidth="1"/>
    <col min="9" max="9" width="12.42578125" customWidth="1"/>
  </cols>
  <sheetData>
    <row r="1" spans="1:19" x14ac:dyDescent="0.25">
      <c r="A1" s="53" t="s">
        <v>211</v>
      </c>
      <c r="B1" s="53"/>
      <c r="C1" s="53"/>
      <c r="D1" s="53"/>
      <c r="E1" s="53"/>
      <c r="F1" s="53"/>
      <c r="G1" s="53"/>
      <c r="H1" s="53"/>
    </row>
    <row r="2" spans="1:19" x14ac:dyDescent="0.25">
      <c r="C2" t="s">
        <v>165</v>
      </c>
      <c r="D2" t="s">
        <v>164</v>
      </c>
      <c r="E2" s="12" t="s">
        <v>160</v>
      </c>
      <c r="F2" s="12"/>
      <c r="H2" s="12" t="s">
        <v>161</v>
      </c>
      <c r="I2" s="62"/>
      <c r="J2" s="62"/>
    </row>
    <row r="3" spans="1:19" ht="18.75" x14ac:dyDescent="0.3">
      <c r="A3" t="s">
        <v>0</v>
      </c>
      <c r="B3" t="s">
        <v>1</v>
      </c>
      <c r="C3" t="s">
        <v>9</v>
      </c>
      <c r="D3" t="s">
        <v>59</v>
      </c>
      <c r="E3" s="12" t="s">
        <v>156</v>
      </c>
      <c r="F3" s="12" t="s">
        <v>157</v>
      </c>
      <c r="G3" t="s">
        <v>1</v>
      </c>
      <c r="H3" s="12" t="s">
        <v>156</v>
      </c>
      <c r="I3" s="62" t="s">
        <v>157</v>
      </c>
      <c r="J3" s="62"/>
      <c r="K3" s="54" t="s">
        <v>158</v>
      </c>
      <c r="L3" s="54"/>
      <c r="M3" s="54" t="str">
        <f>indtastning!C4</f>
        <v>Eksempel på fodring af polte</v>
      </c>
      <c r="N3" s="54"/>
      <c r="O3" s="54"/>
      <c r="P3" s="54"/>
      <c r="Q3" s="54"/>
      <c r="R3" s="54"/>
      <c r="S3" s="54"/>
    </row>
    <row r="4" spans="1:19" x14ac:dyDescent="0.25">
      <c r="A4" s="7">
        <v>0</v>
      </c>
      <c r="B4" s="8">
        <f>beregningsark!B11</f>
        <v>6.3</v>
      </c>
      <c r="C4" s="8">
        <f>beregningsark!N11</f>
        <v>9.6999999999999993</v>
      </c>
      <c r="D4" s="8">
        <f>beregningsark!C11</f>
        <v>1.1499999999999999</v>
      </c>
      <c r="E4" s="9">
        <f>beregningsark!U11*1000</f>
        <v>20.62783006638621</v>
      </c>
      <c r="F4" s="9"/>
      <c r="G4" s="8">
        <f>B4</f>
        <v>6.3</v>
      </c>
      <c r="H4" s="8">
        <f>beregningsark!T11</f>
        <v>1.6217700827149604</v>
      </c>
      <c r="I4" s="7"/>
    </row>
    <row r="5" spans="1:19" x14ac:dyDescent="0.25">
      <c r="A5" s="7">
        <v>1</v>
      </c>
      <c r="B5" s="8">
        <f>beregningsark!B12</f>
        <v>6.3206278300663863</v>
      </c>
      <c r="C5" s="8">
        <f>beregningsark!N12</f>
        <v>9.6999999999999993</v>
      </c>
      <c r="D5" s="8">
        <f>beregningsark!C12</f>
        <v>1.1499999999999999</v>
      </c>
      <c r="E5" s="9">
        <f>beregningsark!U12*1000</f>
        <v>30.804376386676292</v>
      </c>
      <c r="F5" s="9">
        <f>beregningsark!V12</f>
        <v>20.627830066386466</v>
      </c>
      <c r="G5" s="8">
        <f t="shared" ref="G5:G68" si="0">B5</f>
        <v>6.3206278300663863</v>
      </c>
      <c r="H5" s="8">
        <f>beregningsark!T12</f>
        <v>1.6220210219432838</v>
      </c>
      <c r="I5" s="7"/>
    </row>
    <row r="6" spans="1:19" x14ac:dyDescent="0.25">
      <c r="A6" s="7">
        <v>2</v>
      </c>
      <c r="B6" s="8">
        <f>beregningsark!B13</f>
        <v>6.3514322064530626</v>
      </c>
      <c r="C6" s="8">
        <f>beregningsark!N13</f>
        <v>9.6999999999999993</v>
      </c>
      <c r="D6" s="8">
        <f>beregningsark!C13</f>
        <v>1.1499999999999999</v>
      </c>
      <c r="E6" s="9">
        <f>beregningsark!U13*1000</f>
        <v>42.678851318103661</v>
      </c>
      <c r="F6" s="9">
        <f>beregningsark!V13</f>
        <v>25.716103226531395</v>
      </c>
      <c r="G6" s="8">
        <f t="shared" si="0"/>
        <v>6.3514322064530626</v>
      </c>
      <c r="H6" s="8">
        <f>beregningsark!T13</f>
        <v>1.6223956855807389</v>
      </c>
      <c r="I6" s="55">
        <f>beregningsark!X13</f>
        <v>1.6219203781615703</v>
      </c>
    </row>
    <row r="7" spans="1:19" x14ac:dyDescent="0.25">
      <c r="A7" s="7">
        <v>3</v>
      </c>
      <c r="B7" s="8">
        <f>beregningsark!B14</f>
        <v>6.3941110577711662</v>
      </c>
      <c r="C7" s="8">
        <f>beregningsark!N14</f>
        <v>9.6999999999999993</v>
      </c>
      <c r="D7" s="8">
        <f>beregningsark!C14</f>
        <v>1.1499999999999999</v>
      </c>
      <c r="E7" s="9">
        <f>beregningsark!U14*1000</f>
        <v>63.453634840438752</v>
      </c>
      <c r="F7" s="9">
        <f>beregningsark!V14</f>
        <v>31.370352590388784</v>
      </c>
      <c r="G7" s="8">
        <f t="shared" si="0"/>
        <v>6.3941110577711662</v>
      </c>
      <c r="H7" s="8">
        <f>beregningsark!T14</f>
        <v>1.6229146289297238</v>
      </c>
      <c r="I7" s="55">
        <f>beregningsark!X14</f>
        <v>1.6221359274833362</v>
      </c>
    </row>
    <row r="8" spans="1:19" x14ac:dyDescent="0.25">
      <c r="A8" s="7">
        <v>4</v>
      </c>
      <c r="B8" s="8">
        <f>beregningsark!B15</f>
        <v>6.457564692611605</v>
      </c>
      <c r="C8" s="8">
        <f>beregningsark!N15</f>
        <v>9.6999999999999993</v>
      </c>
      <c r="D8" s="8">
        <f>beregningsark!C15</f>
        <v>1.1499999999999999</v>
      </c>
      <c r="E8" s="9">
        <f>beregningsark!U15*1000</f>
        <v>88.048615832798475</v>
      </c>
      <c r="F8" s="9">
        <f>beregningsark!V15</f>
        <v>39.391173152901303</v>
      </c>
      <c r="G8" s="8">
        <f t="shared" si="0"/>
        <v>6.457564692611605</v>
      </c>
      <c r="H8" s="8">
        <f>beregningsark!T15</f>
        <v>1.6236858686204592</v>
      </c>
      <c r="I8" s="55">
        <f>beregningsark!X15</f>
        <v>1.6224495220863506</v>
      </c>
    </row>
    <row r="9" spans="1:19" x14ac:dyDescent="0.25">
      <c r="A9" s="7">
        <v>5</v>
      </c>
      <c r="B9" s="8">
        <f>beregningsark!B16</f>
        <v>6.5456133084444037</v>
      </c>
      <c r="C9" s="8">
        <f>beregningsark!N16</f>
        <v>9.6999999999999993</v>
      </c>
      <c r="D9" s="8">
        <f>beregningsark!C16</f>
        <v>1.1499999999999999</v>
      </c>
      <c r="E9" s="9">
        <f>beregningsark!U16*1000</f>
        <v>113.47618854487609</v>
      </c>
      <c r="F9" s="9">
        <f>beregningsark!V16</f>
        <v>49.122661688880775</v>
      </c>
      <c r="G9" s="8">
        <f t="shared" si="0"/>
        <v>6.5456133084444037</v>
      </c>
      <c r="H9" s="8">
        <f>beregningsark!T16</f>
        <v>1.6247554402137798</v>
      </c>
      <c r="I9" s="55">
        <f>beregningsark!X16</f>
        <v>1.6228927334160099</v>
      </c>
    </row>
    <row r="10" spans="1:19" x14ac:dyDescent="0.25">
      <c r="A10" s="7">
        <v>6</v>
      </c>
      <c r="B10" s="8">
        <f>beregningsark!B17</f>
        <v>6.6590894969892798</v>
      </c>
      <c r="C10" s="8">
        <f>beregningsark!N17</f>
        <v>9.6999999999999993</v>
      </c>
      <c r="D10" s="8">
        <f>beregningsark!C17</f>
        <v>1.1499999999999999</v>
      </c>
      <c r="E10" s="9">
        <f>beregningsark!U17*1000</f>
        <v>138.68218260751866</v>
      </c>
      <c r="F10" s="9">
        <f>beregningsark!V17</f>
        <v>59.84824949821332</v>
      </c>
      <c r="G10" s="8">
        <f t="shared" si="0"/>
        <v>6.6590894969892798</v>
      </c>
      <c r="H10" s="8">
        <f>beregningsark!T17</f>
        <v>1.6230796297138717</v>
      </c>
      <c r="I10" s="55">
        <f>beregningsark!X17</f>
        <v>1.6234813690334806</v>
      </c>
    </row>
    <row r="11" spans="1:19" x14ac:dyDescent="0.25">
      <c r="A11" s="13">
        <v>7</v>
      </c>
      <c r="B11" s="56">
        <f>beregningsark!B18</f>
        <v>6.7977716795967984</v>
      </c>
      <c r="C11" s="8">
        <f>beregningsark!N18</f>
        <v>9.6999999999999993</v>
      </c>
      <c r="D11" s="8">
        <f>beregningsark!C18</f>
        <v>1.1499999999999999</v>
      </c>
      <c r="E11" s="63">
        <f>beregningsark!U18*1000</f>
        <v>166.21261626516787</v>
      </c>
      <c r="F11" s="63">
        <f>beregningsark!V18</f>
        <v>71.110239942399801</v>
      </c>
      <c r="G11" s="56">
        <f t="shared" si="0"/>
        <v>6.7977716795967984</v>
      </c>
      <c r="H11" s="56">
        <f>beregningsark!T18</f>
        <v>1.6216990303508643</v>
      </c>
      <c r="I11" s="57">
        <f>beregningsark!X18</f>
        <v>1.6233694420437257</v>
      </c>
    </row>
    <row r="12" spans="1:19" x14ac:dyDescent="0.25">
      <c r="A12" s="7">
        <v>8</v>
      </c>
      <c r="B12" s="8">
        <f>beregningsark!B19</f>
        <v>6.963984295861966</v>
      </c>
      <c r="C12" s="8">
        <f>beregningsark!N19</f>
        <v>9.6999999999999993</v>
      </c>
      <c r="D12" s="8">
        <f>beregningsark!C19</f>
        <v>1.1499999999999999</v>
      </c>
      <c r="E12" s="9">
        <f>beregningsark!U19*1000</f>
        <v>192.54572554858836</v>
      </c>
      <c r="F12" s="9">
        <f>beregningsark!V19</f>
        <v>82.998036982745774</v>
      </c>
      <c r="G12" s="8">
        <f t="shared" si="0"/>
        <v>6.963984295861966</v>
      </c>
      <c r="H12" s="8">
        <f>beregningsark!T19</f>
        <v>1.6196170544989388</v>
      </c>
      <c r="I12" s="55">
        <f>beregningsark!X19</f>
        <v>1.6229512943564379</v>
      </c>
    </row>
    <row r="13" spans="1:19" x14ac:dyDescent="0.25">
      <c r="A13" s="7">
        <v>9</v>
      </c>
      <c r="B13" s="8">
        <f>beregningsark!B20</f>
        <v>7.1565300214105543</v>
      </c>
      <c r="C13" s="8">
        <f>beregningsark!N20</f>
        <v>9.6999999999999993</v>
      </c>
      <c r="D13" s="8">
        <f>beregningsark!C20</f>
        <v>1.1499999999999999</v>
      </c>
      <c r="E13" s="9">
        <f>beregningsark!U20*1000</f>
        <v>216.00378312474646</v>
      </c>
      <c r="F13" s="9">
        <f>beregningsark!V20</f>
        <v>95.1700023789505</v>
      </c>
      <c r="G13" s="8">
        <f t="shared" si="0"/>
        <v>7.1565300214105543</v>
      </c>
      <c r="H13" s="8">
        <f>beregningsark!T20</f>
        <v>1.6260185832799925</v>
      </c>
      <c r="I13" s="55">
        <f>beregningsark!X20</f>
        <v>1.6222017658910401</v>
      </c>
    </row>
    <row r="14" spans="1:19" x14ac:dyDescent="0.25">
      <c r="A14" s="7">
        <v>10</v>
      </c>
      <c r="B14" s="8">
        <f>beregningsark!B21</f>
        <v>7.3725338045353004</v>
      </c>
      <c r="C14" s="8">
        <f>beregningsark!N21</f>
        <v>9.6999999999999993</v>
      </c>
      <c r="D14" s="8">
        <f>beregningsark!C21</f>
        <v>1.1499999999999999</v>
      </c>
      <c r="E14" s="9">
        <f>beregningsark!U21*1000</f>
        <v>245.24504330542874</v>
      </c>
      <c r="F14" s="9">
        <f>beregningsark!V21</f>
        <v>107.25338045353006</v>
      </c>
      <c r="G14" s="8">
        <f t="shared" si="0"/>
        <v>7.3725338045353004</v>
      </c>
      <c r="H14" s="8">
        <f>beregningsark!T21</f>
        <v>1.6204090704582699</v>
      </c>
      <c r="I14" s="55">
        <f>beregningsark!X21</f>
        <v>1.6229704568097079</v>
      </c>
    </row>
    <row r="15" spans="1:19" x14ac:dyDescent="0.25">
      <c r="A15" s="7">
        <v>11</v>
      </c>
      <c r="B15" s="8">
        <f>beregningsark!B22</f>
        <v>7.6177788478407287</v>
      </c>
      <c r="C15" s="8">
        <f>beregningsark!N22</f>
        <v>9.6999999999999993</v>
      </c>
      <c r="D15" s="8">
        <f>beregningsark!C22</f>
        <v>1.1499999999999999</v>
      </c>
      <c r="E15" s="9">
        <f>beregningsark!U22*1000</f>
        <v>266.87083706263172</v>
      </c>
      <c r="F15" s="9">
        <f>beregningsark!V22</f>
        <v>119.79807707642989</v>
      </c>
      <c r="G15" s="8">
        <f t="shared" si="0"/>
        <v>7.6177788478407287</v>
      </c>
      <c r="H15" s="8">
        <f>beregningsark!T22</f>
        <v>1.619216707256327</v>
      </c>
      <c r="I15" s="55">
        <f>beregningsark!X22</f>
        <v>1.6224937703704703</v>
      </c>
    </row>
    <row r="16" spans="1:19" x14ac:dyDescent="0.25">
      <c r="A16" s="7">
        <v>12</v>
      </c>
      <c r="B16" s="8">
        <f>beregningsark!B23</f>
        <v>7.8846496849033603</v>
      </c>
      <c r="C16" s="8">
        <f>beregningsark!N23</f>
        <v>9.6999999999999993</v>
      </c>
      <c r="D16" s="8">
        <f>beregningsark!C23</f>
        <v>1.1499999999999999</v>
      </c>
      <c r="E16" s="9">
        <f>beregningsark!U23*1000</f>
        <v>284.96330541308669</v>
      </c>
      <c r="F16" s="9">
        <f>beregningsark!V23</f>
        <v>132.05414040861339</v>
      </c>
      <c r="G16" s="8">
        <f t="shared" si="0"/>
        <v>7.8846496849033603</v>
      </c>
      <c r="H16" s="8">
        <f>beregningsark!T23</f>
        <v>1.6182533221784898</v>
      </c>
      <c r="I16" s="55">
        <f>beregningsark!X23</f>
        <v>1.621941880205275</v>
      </c>
    </row>
    <row r="17" spans="1:9" x14ac:dyDescent="0.25">
      <c r="A17" s="7">
        <v>13</v>
      </c>
      <c r="B17" s="8">
        <f>beregningsark!B24</f>
        <v>8.1696129903164465</v>
      </c>
      <c r="C17" s="8">
        <f>beregningsark!N24</f>
        <v>9.6999999999999993</v>
      </c>
      <c r="D17" s="8">
        <f>beregningsark!C24</f>
        <v>1.1499999999999999</v>
      </c>
      <c r="E17" s="9">
        <f>beregningsark!U24*1000</f>
        <v>301.19589493387883</v>
      </c>
      <c r="F17" s="9">
        <f>beregningsark!V24</f>
        <v>143.81638387049588</v>
      </c>
      <c r="G17" s="8">
        <f t="shared" si="0"/>
        <v>8.1696129903164465</v>
      </c>
      <c r="H17" s="8">
        <f>beregningsark!T24</f>
        <v>1.6174736096116775</v>
      </c>
      <c r="I17" s="55">
        <f>beregningsark!X24</f>
        <v>1.6213796763197841</v>
      </c>
    </row>
    <row r="18" spans="1:9" x14ac:dyDescent="0.25">
      <c r="A18" s="13">
        <v>14</v>
      </c>
      <c r="B18" s="56">
        <f>beregningsark!B25</f>
        <v>8.4708088852503245</v>
      </c>
      <c r="C18" s="8">
        <f>beregningsark!N25</f>
        <v>10.1</v>
      </c>
      <c r="D18" s="8">
        <f>beregningsark!C25</f>
        <v>1.0900000000000001</v>
      </c>
      <c r="E18" s="63">
        <f>beregningsark!U25*1000</f>
        <v>306.87272052926352</v>
      </c>
      <c r="F18" s="63">
        <f>beregningsark!V25</f>
        <v>155.05777751788034</v>
      </c>
      <c r="G18" s="56">
        <f t="shared" si="0"/>
        <v>8.4708088852503245</v>
      </c>
      <c r="H18" s="56">
        <f>beregningsark!T25</f>
        <v>1.5926889529033346</v>
      </c>
      <c r="I18" s="57">
        <f>beregningsark!X25</f>
        <v>1.6208377164697889</v>
      </c>
    </row>
    <row r="19" spans="1:9" x14ac:dyDescent="0.25">
      <c r="A19" s="7">
        <v>15</v>
      </c>
      <c r="B19" s="8">
        <f>beregningsark!B26</f>
        <v>8.7776816057795877</v>
      </c>
      <c r="C19" s="8">
        <f>beregningsark!N26</f>
        <v>10.1</v>
      </c>
      <c r="D19" s="8">
        <f>beregningsark!C26</f>
        <v>1.0900000000000001</v>
      </c>
      <c r="E19" s="9">
        <f>beregningsark!U26*1000</f>
        <v>317.75630448098292</v>
      </c>
      <c r="F19" s="9">
        <f>beregningsark!V26</f>
        <v>165.17877371863918</v>
      </c>
      <c r="G19" s="8">
        <f t="shared" si="0"/>
        <v>8.7776816057795877</v>
      </c>
      <c r="H19" s="8">
        <f>beregningsark!T26</f>
        <v>1.5920906731444682</v>
      </c>
      <c r="I19" s="55">
        <f>beregningsark!X26</f>
        <v>1.6173513574335745</v>
      </c>
    </row>
    <row r="20" spans="1:9" x14ac:dyDescent="0.25">
      <c r="A20" s="7">
        <v>16</v>
      </c>
      <c r="B20" s="8">
        <f>beregningsark!B27</f>
        <v>9.0954379102605714</v>
      </c>
      <c r="C20" s="8">
        <f>beregningsark!N27</f>
        <v>10.1</v>
      </c>
      <c r="D20" s="8">
        <f>beregningsark!C27</f>
        <v>1.0900000000000001</v>
      </c>
      <c r="E20" s="9">
        <f>beregningsark!U27*1000</f>
        <v>328.9849482417855</v>
      </c>
      <c r="F20" s="9">
        <f>beregningsark!V27</f>
        <v>174.71486939128573</v>
      </c>
      <c r="G20" s="8">
        <f t="shared" si="0"/>
        <v>9.0954379102605714</v>
      </c>
      <c r="H20" s="8">
        <f>beregningsark!T27</f>
        <v>1.5915850500155109</v>
      </c>
      <c r="I20" s="55">
        <f>beregningsark!X27</f>
        <v>1.614479985596301</v>
      </c>
    </row>
    <row r="21" spans="1:9" x14ac:dyDescent="0.25">
      <c r="A21" s="7">
        <v>17</v>
      </c>
      <c r="B21" s="8">
        <f>beregningsark!B28</f>
        <v>9.4244228585023571</v>
      </c>
      <c r="C21" s="8">
        <f>beregningsark!N28</f>
        <v>10.1</v>
      </c>
      <c r="D21" s="8">
        <f>beregningsark!C28</f>
        <v>1.0900000000000001</v>
      </c>
      <c r="E21" s="9">
        <f>beregningsark!U28*1000</f>
        <v>340.56586932019303</v>
      </c>
      <c r="F21" s="9">
        <f>beregningsark!V28</f>
        <v>183.78957991190336</v>
      </c>
      <c r="G21" s="8">
        <f t="shared" si="0"/>
        <v>9.4244228585023571</v>
      </c>
      <c r="H21" s="8">
        <f>beregningsark!T28</f>
        <v>1.5911742875413601</v>
      </c>
      <c r="I21" s="55">
        <f>beregningsark!X28</f>
        <v>1.6120692718299012</v>
      </c>
    </row>
    <row r="22" spans="1:9" x14ac:dyDescent="0.25">
      <c r="A22" s="7">
        <v>18</v>
      </c>
      <c r="B22" s="8">
        <f>beregningsark!B29</f>
        <v>9.7649887278225496</v>
      </c>
      <c r="C22" s="8">
        <f>beregningsark!N29</f>
        <v>10.1</v>
      </c>
      <c r="D22" s="8">
        <f>beregningsark!C29</f>
        <v>1.0900000000000001</v>
      </c>
      <c r="E22" s="9">
        <f>beregningsark!U29*1000</f>
        <v>352.27313885059647</v>
      </c>
      <c r="F22" s="9">
        <f>beregningsark!V29</f>
        <v>192.49937376791942</v>
      </c>
      <c r="G22" s="8">
        <f t="shared" si="0"/>
        <v>9.7649887278225496</v>
      </c>
      <c r="H22" s="8">
        <f>beregningsark!T29</f>
        <v>1.5919128163285072</v>
      </c>
      <c r="I22" s="55">
        <f>beregningsark!X29</f>
        <v>1.6100155512992922</v>
      </c>
    </row>
    <row r="23" spans="1:9" x14ac:dyDescent="0.25">
      <c r="A23" s="7">
        <v>19</v>
      </c>
      <c r="B23" s="8">
        <f>beregningsark!B30</f>
        <v>10.117261866673147</v>
      </c>
      <c r="C23" s="8">
        <f>beregningsark!N30</f>
        <v>10.1</v>
      </c>
      <c r="D23" s="8">
        <f>beregningsark!C30</f>
        <v>1.0900000000000001</v>
      </c>
      <c r="E23" s="9">
        <f>beregningsark!U30*1000</f>
        <v>364.42839189166568</v>
      </c>
      <c r="F23" s="9">
        <f>beregningsark!V30</f>
        <v>200.90851929858667</v>
      </c>
      <c r="G23" s="8">
        <f t="shared" si="0"/>
        <v>10.117261866673147</v>
      </c>
      <c r="H23" s="8">
        <f>beregningsark!T30</f>
        <v>1.5927558235095196</v>
      </c>
      <c r="I23" s="55">
        <f>beregningsark!X30</f>
        <v>1.6083449540249435</v>
      </c>
    </row>
    <row r="24" spans="1:9" x14ac:dyDescent="0.25">
      <c r="A24" s="7">
        <v>20</v>
      </c>
      <c r="B24" s="8">
        <f>beregningsark!B31</f>
        <v>10.481690258564813</v>
      </c>
      <c r="C24" s="8">
        <f>beregningsark!N31</f>
        <v>10.1</v>
      </c>
      <c r="D24" s="8">
        <f>beregningsark!C31</f>
        <v>1.0900000000000001</v>
      </c>
      <c r="E24" s="9">
        <f>beregningsark!U31*1000</f>
        <v>376.92290256669213</v>
      </c>
      <c r="F24" s="9">
        <f>beregningsark!V31</f>
        <v>209.08451292824066</v>
      </c>
      <c r="G24" s="8">
        <f t="shared" si="0"/>
        <v>10.481690258564813</v>
      </c>
      <c r="H24" s="8">
        <f>beregningsark!T31</f>
        <v>1.5947670726090655</v>
      </c>
      <c r="I24" s="55">
        <f>beregningsark!X31</f>
        <v>1.6069863833481484</v>
      </c>
    </row>
    <row r="25" spans="1:9" x14ac:dyDescent="0.25">
      <c r="A25" s="13">
        <v>21</v>
      </c>
      <c r="B25" s="56">
        <f>beregningsark!B32</f>
        <v>10.858613161131505</v>
      </c>
      <c r="C25" s="8">
        <f>beregningsark!N32</f>
        <v>10.1</v>
      </c>
      <c r="D25" s="8">
        <f>beregningsark!C32</f>
        <v>1.0900000000000001</v>
      </c>
      <c r="E25" s="63">
        <f>beregningsark!U32*1000</f>
        <v>390.30841349221856</v>
      </c>
      <c r="F25" s="63">
        <f>beregningsark!V32</f>
        <v>217.07681719673832</v>
      </c>
      <c r="G25" s="56">
        <f t="shared" si="0"/>
        <v>10.858613161131505</v>
      </c>
      <c r="H25" s="56">
        <f>beregningsark!T32</f>
        <v>1.5947683532206796</v>
      </c>
      <c r="I25" s="57">
        <f>beregningsark!X32</f>
        <v>1.6059760457940848</v>
      </c>
    </row>
    <row r="26" spans="1:9" x14ac:dyDescent="0.25">
      <c r="A26" s="7">
        <v>22</v>
      </c>
      <c r="B26" s="8">
        <f>beregningsark!B33</f>
        <v>11.248921574623724</v>
      </c>
      <c r="C26" s="8">
        <f>beregningsark!N33</f>
        <v>10.1</v>
      </c>
      <c r="D26" s="8">
        <f>beregningsark!C33</f>
        <v>1.0900000000000001</v>
      </c>
      <c r="E26" s="9">
        <f>beregningsark!U33*1000</f>
        <v>403.85728620190781</v>
      </c>
      <c r="F26" s="9">
        <f>beregningsark!V33</f>
        <v>224.95098066471473</v>
      </c>
      <c r="G26" s="8">
        <f t="shared" si="0"/>
        <v>11.248921574623724</v>
      </c>
      <c r="H26" s="8">
        <f>beregningsark!T33</f>
        <v>1.5959485940456157</v>
      </c>
      <c r="I26" s="55">
        <f>beregningsark!X33</f>
        <v>1.605092124592006</v>
      </c>
    </row>
    <row r="27" spans="1:9" x14ac:dyDescent="0.25">
      <c r="A27" s="7">
        <v>23</v>
      </c>
      <c r="B27" s="8">
        <f>beregningsark!B34</f>
        <v>11.652778860825631</v>
      </c>
      <c r="C27" s="8">
        <f>beregningsark!N34</f>
        <v>10.1</v>
      </c>
      <c r="D27" s="8">
        <f>beregningsark!C34</f>
        <v>1.0900000000000001</v>
      </c>
      <c r="E27" s="9">
        <f>beregningsark!U34*1000</f>
        <v>417.82053040951843</v>
      </c>
      <c r="F27" s="9">
        <f>beregningsark!V34</f>
        <v>232.7295156880709</v>
      </c>
      <c r="G27" s="8">
        <f t="shared" si="0"/>
        <v>11.652778860825631</v>
      </c>
      <c r="H27" s="8">
        <f>beregningsark!T34</f>
        <v>1.597247775459903</v>
      </c>
      <c r="I27" s="55">
        <f>beregningsark!X34</f>
        <v>1.604402262087169</v>
      </c>
    </row>
    <row r="28" spans="1:9" x14ac:dyDescent="0.25">
      <c r="A28" s="7">
        <v>24</v>
      </c>
      <c r="B28" s="8">
        <f>beregningsark!B35</f>
        <v>12.070599391235149</v>
      </c>
      <c r="C28" s="8">
        <f>beregningsark!N35</f>
        <v>10.1</v>
      </c>
      <c r="D28" s="8">
        <f>beregningsark!C35</f>
        <v>1.0900000000000001</v>
      </c>
      <c r="E28" s="9">
        <f>beregningsark!U35*1000</f>
        <v>431.91504976841969</v>
      </c>
      <c r="F28" s="9">
        <f>beregningsark!V35</f>
        <v>240.44164130146453</v>
      </c>
      <c r="G28" s="8">
        <f t="shared" si="0"/>
        <v>12.070599391235149</v>
      </c>
      <c r="H28" s="8">
        <f>beregningsark!T35</f>
        <v>1.5997466175481874</v>
      </c>
      <c r="I28" s="55">
        <f>beregningsark!X35</f>
        <v>1.6038842411339294</v>
      </c>
    </row>
    <row r="29" spans="1:9" x14ac:dyDescent="0.25">
      <c r="A29" s="7">
        <v>25</v>
      </c>
      <c r="B29" s="8">
        <f>beregningsark!B36</f>
        <v>12.502514441003569</v>
      </c>
      <c r="C29" s="8">
        <f>beregningsark!N36</f>
        <v>10.1</v>
      </c>
      <c r="D29" s="8">
        <f>beregningsark!C36</f>
        <v>1.0900000000000001</v>
      </c>
      <c r="E29" s="9">
        <f>beregningsark!U36*1000</f>
        <v>446.71075247093756</v>
      </c>
      <c r="F29" s="9">
        <f>beregningsark!V36</f>
        <v>248.1005776401428</v>
      </c>
      <c r="G29" s="8">
        <f t="shared" si="0"/>
        <v>12.502514441003569</v>
      </c>
      <c r="H29" s="8">
        <f>beregningsark!T36</f>
        <v>1.6012940350789295</v>
      </c>
      <c r="I29" s="55">
        <f>beregningsark!X36</f>
        <v>1.6035961157431773</v>
      </c>
    </row>
    <row r="30" spans="1:9" x14ac:dyDescent="0.25">
      <c r="A30" s="7">
        <v>26</v>
      </c>
      <c r="B30" s="8">
        <f>beregningsark!B37</f>
        <v>12.949225193474508</v>
      </c>
      <c r="C30" s="8">
        <f>beregningsark!N37</f>
        <v>10.1</v>
      </c>
      <c r="D30" s="8">
        <f>beregningsark!C37</f>
        <v>1.0900000000000001</v>
      </c>
      <c r="E30" s="9">
        <f>beregningsark!U37*1000</f>
        <v>462.57124795553159</v>
      </c>
      <c r="F30" s="9">
        <f>beregningsark!V37</f>
        <v>255.73943051825032</v>
      </c>
      <c r="G30" s="8">
        <f t="shared" si="0"/>
        <v>12.949225193474508</v>
      </c>
      <c r="H30" s="8">
        <f>beregningsark!T37</f>
        <v>1.6007940816202189</v>
      </c>
      <c r="I30" s="55">
        <f>beregningsark!X37</f>
        <v>1.6034414564925348</v>
      </c>
    </row>
    <row r="31" spans="1:9" x14ac:dyDescent="0.25">
      <c r="A31" s="7">
        <v>27</v>
      </c>
      <c r="B31" s="8">
        <f>beregningsark!B38</f>
        <v>13.41179644143004</v>
      </c>
      <c r="C31" s="8">
        <f>beregningsark!N38</f>
        <v>10.1</v>
      </c>
      <c r="D31" s="8">
        <f>beregningsark!C38</f>
        <v>1.0900000000000001</v>
      </c>
      <c r="E31" s="9">
        <f>beregningsark!U38*1000</f>
        <v>477.3158742647617</v>
      </c>
      <c r="F31" s="9">
        <f>beregningsark!V38</f>
        <v>263.39986820111261</v>
      </c>
      <c r="G31" s="8">
        <f t="shared" si="0"/>
        <v>13.41179644143004</v>
      </c>
      <c r="H31" s="8">
        <f>beregningsark!T38</f>
        <v>1.6058746123372221</v>
      </c>
      <c r="I31" s="55">
        <f>beregningsark!X38</f>
        <v>1.6032692637830583</v>
      </c>
    </row>
    <row r="32" spans="1:9" x14ac:dyDescent="0.25">
      <c r="A32" s="13">
        <v>28</v>
      </c>
      <c r="B32" s="56">
        <f>beregningsark!B39</f>
        <v>13.889112315694801</v>
      </c>
      <c r="C32" s="8">
        <f>beregningsark!N39</f>
        <v>10.9</v>
      </c>
      <c r="D32" s="8">
        <f>beregningsark!C39</f>
        <v>1.07</v>
      </c>
      <c r="E32" s="63">
        <f>beregningsark!U39*1000</f>
        <v>497.00531893616323</v>
      </c>
      <c r="F32" s="63">
        <f>beregningsark!V39</f>
        <v>271.03972556052861</v>
      </c>
      <c r="G32" s="56">
        <f t="shared" si="0"/>
        <v>13.889112315694801</v>
      </c>
      <c r="H32" s="56">
        <f>beregningsark!T39</f>
        <v>1.5678082674575942</v>
      </c>
      <c r="I32" s="57">
        <f>beregningsark!X39</f>
        <v>1.603433126718691</v>
      </c>
    </row>
    <row r="33" spans="1:9" x14ac:dyDescent="0.25">
      <c r="A33" s="7">
        <v>29</v>
      </c>
      <c r="B33" s="8">
        <f>beregningsark!B40</f>
        <v>14.386117634630963</v>
      </c>
      <c r="C33" s="8">
        <f>beregningsark!N40</f>
        <v>10.9</v>
      </c>
      <c r="D33" s="8">
        <f>beregningsark!C40</f>
        <v>1.07</v>
      </c>
      <c r="E33" s="9">
        <f>beregningsark!U40*1000</f>
        <v>512.77217291516047</v>
      </c>
      <c r="F33" s="9">
        <f>beregningsark!V40</f>
        <v>278.83164257348147</v>
      </c>
      <c r="G33" s="8">
        <f t="shared" si="0"/>
        <v>14.386117634630963</v>
      </c>
      <c r="H33" s="8">
        <f>beregningsark!T40</f>
        <v>1.5732293344581538</v>
      </c>
      <c r="I33" s="55">
        <f>beregningsark!X40</f>
        <v>1.601243479555597</v>
      </c>
    </row>
    <row r="34" spans="1:9" x14ac:dyDescent="0.25">
      <c r="A34" s="7">
        <v>30</v>
      </c>
      <c r="B34" s="8">
        <f>beregningsark!B41</f>
        <v>14.898889807546123</v>
      </c>
      <c r="C34" s="8">
        <f>beregningsark!N41</f>
        <v>10.9</v>
      </c>
      <c r="D34" s="8">
        <f>beregningsark!C41</f>
        <v>1.07</v>
      </c>
      <c r="E34" s="9">
        <f>beregningsark!U41*1000</f>
        <v>528.8704304298418</v>
      </c>
      <c r="F34" s="9">
        <f>beregningsark!V41</f>
        <v>286.62966025153742</v>
      </c>
      <c r="G34" s="8">
        <f t="shared" si="0"/>
        <v>14.898889807546123</v>
      </c>
      <c r="H34" s="8">
        <f>beregningsark!T41</f>
        <v>1.5789266322274822</v>
      </c>
      <c r="I34" s="55">
        <f>beregningsark!X41</f>
        <v>1.5995729297084098</v>
      </c>
    </row>
    <row r="35" spans="1:9" x14ac:dyDescent="0.25">
      <c r="A35" s="7">
        <v>31</v>
      </c>
      <c r="B35" s="8">
        <f>beregningsark!B42</f>
        <v>15.427760237975965</v>
      </c>
      <c r="C35" s="8">
        <f>beregningsark!N42</f>
        <v>10.9</v>
      </c>
      <c r="D35" s="8">
        <f>beregningsark!C42</f>
        <v>1.07</v>
      </c>
      <c r="E35" s="9">
        <f>beregningsark!U42*1000</f>
        <v>544.9994680631163</v>
      </c>
      <c r="F35" s="9">
        <f>beregningsark!V42</f>
        <v>294.44387864438602</v>
      </c>
      <c r="G35" s="8">
        <f t="shared" si="0"/>
        <v>15.427760237975965</v>
      </c>
      <c r="H35" s="8">
        <f>beregningsark!T42</f>
        <v>1.5857666623145454</v>
      </c>
      <c r="I35" s="55">
        <f>beregningsark!X42</f>
        <v>1.5983766651319045</v>
      </c>
    </row>
    <row r="36" spans="1:9" x14ac:dyDescent="0.25">
      <c r="A36" s="7">
        <v>32</v>
      </c>
      <c r="B36" s="8">
        <f>beregningsark!B43</f>
        <v>15.972759706039081</v>
      </c>
      <c r="C36" s="8">
        <f>beregningsark!N43</f>
        <v>10.9</v>
      </c>
      <c r="D36" s="8">
        <f>beregningsark!C43</f>
        <v>1.07</v>
      </c>
      <c r="E36" s="9">
        <f>beregningsark!U43*1000</f>
        <v>561.4629756243952</v>
      </c>
      <c r="F36" s="9">
        <f>beregningsark!V43</f>
        <v>302.27374081372125</v>
      </c>
      <c r="G36" s="8">
        <f t="shared" si="0"/>
        <v>15.972759706039081</v>
      </c>
      <c r="H36" s="8">
        <f>beregningsark!T43</f>
        <v>1.5927841274367414</v>
      </c>
      <c r="I36" s="55">
        <f>beregningsark!X43</f>
        <v>1.5976661703985926</v>
      </c>
    </row>
    <row r="37" spans="1:9" x14ac:dyDescent="0.25">
      <c r="A37" s="7">
        <v>33</v>
      </c>
      <c r="B37" s="8">
        <f>beregningsark!B44</f>
        <v>16.534222681663476</v>
      </c>
      <c r="C37" s="8">
        <f>beregningsark!N44</f>
        <v>10.9</v>
      </c>
      <c r="D37" s="8">
        <f>beregningsark!C44</f>
        <v>1.07</v>
      </c>
      <c r="E37" s="9">
        <f>beregningsark!U44*1000</f>
        <v>578.25803388354302</v>
      </c>
      <c r="F37" s="9">
        <f>beregningsark!V44</f>
        <v>310.12796005040832</v>
      </c>
      <c r="G37" s="8">
        <f t="shared" si="0"/>
        <v>16.534222681663476</v>
      </c>
      <c r="H37" s="8">
        <f>beregningsark!T44</f>
        <v>1.5999847774897025</v>
      </c>
      <c r="I37" s="55">
        <f>beregningsark!X44</f>
        <v>1.5973983350725747</v>
      </c>
    </row>
    <row r="38" spans="1:9" x14ac:dyDescent="0.25">
      <c r="A38" s="7">
        <v>34</v>
      </c>
      <c r="B38" s="8">
        <f>beregningsark!B45</f>
        <v>17.112480715547019</v>
      </c>
      <c r="C38" s="8">
        <f>beregningsark!N45</f>
        <v>10.9</v>
      </c>
      <c r="D38" s="8">
        <f>beregningsark!C45</f>
        <v>1.07</v>
      </c>
      <c r="E38" s="9">
        <f>beregningsark!U45*1000</f>
        <v>595.38107856493116</v>
      </c>
      <c r="F38" s="9">
        <f>beregningsark!V45</f>
        <v>318.01413869255936</v>
      </c>
      <c r="G38" s="8">
        <f t="shared" si="0"/>
        <v>17.112480715547019</v>
      </c>
      <c r="H38" s="8">
        <f>beregningsark!T45</f>
        <v>1.6073742084873821</v>
      </c>
      <c r="I38" s="55">
        <f>beregningsark!X45</f>
        <v>1.5975366595835012</v>
      </c>
    </row>
    <row r="39" spans="1:9" x14ac:dyDescent="0.25">
      <c r="A39" s="13">
        <v>35</v>
      </c>
      <c r="B39" s="56">
        <f>beregningsark!B46</f>
        <v>17.707861794111949</v>
      </c>
      <c r="C39" s="8">
        <f>beregningsark!N46</f>
        <v>10.9</v>
      </c>
      <c r="D39" s="8">
        <f>beregningsark!C46</f>
        <v>1.07</v>
      </c>
      <c r="E39" s="63">
        <f>beregningsark!U46*1000</f>
        <v>612.82787693571345</v>
      </c>
      <c r="F39" s="63">
        <f>beregningsark!V46</f>
        <v>325.93890840319852</v>
      </c>
      <c r="G39" s="56">
        <f t="shared" si="0"/>
        <v>17.707861794111949</v>
      </c>
      <c r="H39" s="56">
        <f>beregningsark!T46</f>
        <v>1.6149578774968179</v>
      </c>
      <c r="I39" s="57">
        <f>beregningsark!X46</f>
        <v>1.5980500853755153</v>
      </c>
    </row>
    <row r="40" spans="1:9" x14ac:dyDescent="0.25">
      <c r="A40" s="7">
        <v>36</v>
      </c>
      <c r="B40" s="8">
        <f>beregningsark!B47</f>
        <v>18.320689671047663</v>
      </c>
      <c r="C40" s="8">
        <f>beregningsark!N47</f>
        <v>10.9</v>
      </c>
      <c r="D40" s="8">
        <f>beregningsark!C47</f>
        <v>1.07</v>
      </c>
      <c r="E40" s="9">
        <f>beregningsark!U47*1000</f>
        <v>630.59350620061821</v>
      </c>
      <c r="F40" s="9">
        <f>beregningsark!V47</f>
        <v>333.90804641799065</v>
      </c>
      <c r="G40" s="8">
        <f t="shared" si="0"/>
        <v>18.320689671047663</v>
      </c>
      <c r="H40" s="8">
        <f>beregningsark!T47</f>
        <v>1.6227411139865302</v>
      </c>
      <c r="I40" s="55">
        <f>beregningsark!X47</f>
        <v>1.5989120630683862</v>
      </c>
    </row>
    <row r="41" spans="1:9" x14ac:dyDescent="0.25">
      <c r="A41" s="7">
        <v>37</v>
      </c>
      <c r="B41" s="8">
        <f>beregningsark!B48</f>
        <v>18.951283177248282</v>
      </c>
      <c r="C41" s="8">
        <f>beregningsark!N48</f>
        <v>10.9</v>
      </c>
      <c r="D41" s="8">
        <f>beregningsark!C48</f>
        <v>1.07</v>
      </c>
      <c r="E41" s="9">
        <f>beregningsark!U48*1000</f>
        <v>648.67233381660037</v>
      </c>
      <c r="F41" s="9">
        <f>beregningsark!V48</f>
        <v>341.92657235806166</v>
      </c>
      <c r="G41" s="8">
        <f t="shared" si="0"/>
        <v>18.951283177248282</v>
      </c>
      <c r="H41" s="8">
        <f>beregningsark!T48</f>
        <v>1.6307291282063525</v>
      </c>
      <c r="I41" s="55">
        <f>beregningsark!X48</f>
        <v>1.6000998038340759</v>
      </c>
    </row>
    <row r="42" spans="1:9" x14ac:dyDescent="0.25">
      <c r="A42" s="7">
        <v>38</v>
      </c>
      <c r="B42" s="8">
        <f>beregningsark!B49</f>
        <v>19.599955511064881</v>
      </c>
      <c r="C42" s="8">
        <f>beregningsark!N49</f>
        <v>10.9</v>
      </c>
      <c r="D42" s="8">
        <f>beregningsark!C49</f>
        <v>1.07</v>
      </c>
      <c r="E42" s="9">
        <f>beregningsark!U49*1000</f>
        <v>667.05799985327667</v>
      </c>
      <c r="F42" s="9">
        <f>beregningsark!V49</f>
        <v>349.99882923854949</v>
      </c>
      <c r="G42" s="8">
        <f t="shared" si="0"/>
        <v>19.599955511064881</v>
      </c>
      <c r="H42" s="8">
        <f>beregningsark!T49</f>
        <v>1.638927017094671</v>
      </c>
      <c r="I42" s="55">
        <f>beregningsark!X49</f>
        <v>1.6015936731411771</v>
      </c>
    </row>
    <row r="43" spans="1:9" x14ac:dyDescent="0.25">
      <c r="A43" s="7">
        <v>39</v>
      </c>
      <c r="B43" s="8">
        <f>beregningsark!B50</f>
        <v>20.267013510918158</v>
      </c>
      <c r="C43" s="8">
        <f>beregningsark!N50</f>
        <v>10.9</v>
      </c>
      <c r="D43" s="8">
        <f>beregningsark!C50</f>
        <v>1.07</v>
      </c>
      <c r="E43" s="9">
        <f>beregningsark!U50*1000</f>
        <v>685.25093231037897</v>
      </c>
      <c r="F43" s="9">
        <f>beregningsark!V50</f>
        <v>358.12855156200402</v>
      </c>
      <c r="G43" s="8">
        <f t="shared" si="0"/>
        <v>20.267013510918158</v>
      </c>
      <c r="H43" s="8">
        <f>beregningsark!T50</f>
        <v>1.6473397681148991</v>
      </c>
      <c r="I43" s="55">
        <f>beregningsark!X50</f>
        <v>1.6033766960992335</v>
      </c>
    </row>
    <row r="44" spans="1:9" x14ac:dyDescent="0.25">
      <c r="A44" s="7">
        <v>40</v>
      </c>
      <c r="B44" s="8">
        <f>beregningsark!B51</f>
        <v>20.952264443228536</v>
      </c>
      <c r="C44" s="8">
        <f>beregningsark!N51</f>
        <v>10.9</v>
      </c>
      <c r="D44" s="8">
        <f>beregningsark!C51</f>
        <v>1.07</v>
      </c>
      <c r="E44" s="9">
        <f>beregningsark!U51*1000</f>
        <v>702.90521134783967</v>
      </c>
      <c r="F44" s="9">
        <f>beregningsark!V51</f>
        <v>366.30661108071337</v>
      </c>
      <c r="G44" s="8">
        <f t="shared" si="0"/>
        <v>20.952264443228536</v>
      </c>
      <c r="H44" s="8">
        <f>beregningsark!T51</f>
        <v>1.655966904136863</v>
      </c>
      <c r="I44" s="55">
        <f>beregningsark!X51</f>
        <v>1.605432742535106</v>
      </c>
    </row>
    <row r="45" spans="1:9" x14ac:dyDescent="0.25">
      <c r="A45" s="7">
        <v>41</v>
      </c>
      <c r="B45" s="8">
        <f>beregningsark!B52</f>
        <v>21.655169654576376</v>
      </c>
      <c r="C45" s="8">
        <f>beregningsark!N52</f>
        <v>10.9</v>
      </c>
      <c r="D45" s="8">
        <f>beregningsark!C52</f>
        <v>1.07</v>
      </c>
      <c r="E45" s="9">
        <f>beregningsark!U52*1000</f>
        <v>720.70618228213971</v>
      </c>
      <c r="F45" s="9">
        <f>beregningsark!V52</f>
        <v>374.51633303844818</v>
      </c>
      <c r="G45" s="8">
        <f t="shared" si="0"/>
        <v>21.655169654576376</v>
      </c>
      <c r="H45" s="8">
        <f>beregningsark!T52</f>
        <v>1.6648041204488124</v>
      </c>
      <c r="I45" s="55">
        <f>beregningsark!X52</f>
        <v>1.6077460172393281</v>
      </c>
    </row>
    <row r="46" spans="1:9" x14ac:dyDescent="0.25">
      <c r="A46" s="13">
        <v>42</v>
      </c>
      <c r="B46" s="56">
        <f>beregningsark!B53</f>
        <v>22.375875836858516</v>
      </c>
      <c r="C46" s="8">
        <f>beregningsark!N53</f>
        <v>10.9</v>
      </c>
      <c r="D46" s="8">
        <f>beregningsark!C53</f>
        <v>1.07</v>
      </c>
      <c r="E46" s="63">
        <f>beregningsark!U53*1000</f>
        <v>746.09953223488935</v>
      </c>
      <c r="F46" s="63">
        <f>beregningsark!V53</f>
        <v>382.75894849663126</v>
      </c>
      <c r="G46" s="56">
        <f t="shared" si="0"/>
        <v>22.375875836858516</v>
      </c>
      <c r="H46" s="56">
        <f>beregningsark!T53</f>
        <v>1.6738544841170346</v>
      </c>
      <c r="I46" s="57">
        <f>beregningsark!X53</f>
        <v>1.6103040195621681</v>
      </c>
    </row>
    <row r="47" spans="1:9" x14ac:dyDescent="0.25">
      <c r="A47" s="7">
        <v>43</v>
      </c>
      <c r="B47" s="8">
        <f>beregningsark!B54</f>
        <v>23.121975369093406</v>
      </c>
      <c r="C47" s="8">
        <f>beregningsark!N54</f>
        <v>10.9</v>
      </c>
      <c r="D47" s="8">
        <f>beregningsark!C54</f>
        <v>1.07</v>
      </c>
      <c r="E47" s="9">
        <f>beregningsark!U54*1000</f>
        <v>764.51769785344914</v>
      </c>
      <c r="F47" s="9">
        <f>beregningsark!V54</f>
        <v>391.20872951380011</v>
      </c>
      <c r="G47" s="8">
        <f t="shared" si="0"/>
        <v>23.121975369093406</v>
      </c>
      <c r="H47" s="8">
        <f>beregningsark!T54</f>
        <v>1.6832020616953645</v>
      </c>
      <c r="I47" s="55">
        <f>beregningsark!X54</f>
        <v>1.6131226523824735</v>
      </c>
    </row>
    <row r="48" spans="1:9" x14ac:dyDescent="0.25">
      <c r="A48" s="7">
        <v>44</v>
      </c>
      <c r="B48" s="8">
        <f>beregningsark!B55</f>
        <v>23.886493066946855</v>
      </c>
      <c r="C48" s="8">
        <f>beregningsark!N55</f>
        <v>10.9</v>
      </c>
      <c r="D48" s="8">
        <f>beregningsark!C55</f>
        <v>1.07</v>
      </c>
      <c r="E48" s="9">
        <f>beregningsark!U55*1000</f>
        <v>783.03794100231187</v>
      </c>
      <c r="F48" s="9">
        <f>beregningsark!V55</f>
        <v>399.69302424879214</v>
      </c>
      <c r="G48" s="8">
        <f t="shared" si="0"/>
        <v>23.886493066946855</v>
      </c>
      <c r="H48" s="8">
        <f>beregningsark!T55</f>
        <v>1.6927730338255604</v>
      </c>
      <c r="I48" s="55">
        <f>beregningsark!X55</f>
        <v>1.6161691351844096</v>
      </c>
    </row>
    <row r="49" spans="1:10" x14ac:dyDescent="0.25">
      <c r="A49" s="7">
        <v>45</v>
      </c>
      <c r="B49" s="8">
        <f>beregningsark!B56</f>
        <v>24.669531007949168</v>
      </c>
      <c r="C49" s="8">
        <f>beregningsark!N56</f>
        <v>10.9</v>
      </c>
      <c r="D49" s="8">
        <f>beregningsark!C56</f>
        <v>1.07</v>
      </c>
      <c r="E49" s="9">
        <f>beregningsark!U56*1000</f>
        <v>801.64249849664975</v>
      </c>
      <c r="F49" s="9">
        <f>beregningsark!V56</f>
        <v>408.21180017664813</v>
      </c>
      <c r="G49" s="8">
        <f t="shared" si="0"/>
        <v>24.669531007949168</v>
      </c>
      <c r="H49" s="8">
        <f>beregningsark!T56</f>
        <v>1.7025699670460184</v>
      </c>
      <c r="I49" s="55">
        <f>beregningsark!X56</f>
        <v>1.619434529332946</v>
      </c>
    </row>
    <row r="50" spans="1:10" x14ac:dyDescent="0.25">
      <c r="A50" s="7">
        <v>46</v>
      </c>
      <c r="B50" s="8">
        <f>beregningsark!B57</f>
        <v>25.471173506445819</v>
      </c>
      <c r="C50" s="8">
        <f>beregningsark!N57</f>
        <v>10.9</v>
      </c>
      <c r="D50" s="8">
        <f>beregningsark!C57</f>
        <v>1.07</v>
      </c>
      <c r="E50" s="9">
        <f>beregningsark!U57*1000</f>
        <v>820.31307403760309</v>
      </c>
      <c r="F50" s="9">
        <f>beregningsark!V57</f>
        <v>416.76464144447431</v>
      </c>
      <c r="G50" s="8">
        <f t="shared" si="0"/>
        <v>25.471173506445819</v>
      </c>
      <c r="H50" s="8">
        <f>beregningsark!T57</f>
        <v>1.7125952341442019</v>
      </c>
      <c r="I50" s="55">
        <f>beregningsark!X57</f>
        <v>1.622910837133275</v>
      </c>
    </row>
    <row r="51" spans="1:10" x14ac:dyDescent="0.25">
      <c r="A51" s="7">
        <v>47</v>
      </c>
      <c r="B51" s="8">
        <f>beregningsark!B58</f>
        <v>26.291486580483422</v>
      </c>
      <c r="C51" s="8">
        <f>beregningsark!N58</f>
        <v>10.9</v>
      </c>
      <c r="D51" s="8">
        <f>beregningsark!C58</f>
        <v>1.07</v>
      </c>
      <c r="E51" s="9">
        <f>beregningsark!U58*1000</f>
        <v>839.03088641669956</v>
      </c>
      <c r="F51" s="9">
        <f>beregningsark!V58</f>
        <v>425.35077830815794</v>
      </c>
      <c r="G51" s="8">
        <f t="shared" si="0"/>
        <v>26.291486580483422</v>
      </c>
      <c r="H51" s="8">
        <f>beregningsark!T58</f>
        <v>1.7228510110959108</v>
      </c>
      <c r="I51" s="55">
        <f>beregningsark!X58</f>
        <v>1.6265908677857759</v>
      </c>
    </row>
    <row r="52" spans="1:10" x14ac:dyDescent="0.25">
      <c r="A52" s="7">
        <v>48</v>
      </c>
      <c r="B52" s="8">
        <f>beregningsark!B59</f>
        <v>27.130517466900123</v>
      </c>
      <c r="C52" s="8">
        <f>beregningsark!N59</f>
        <v>10.9</v>
      </c>
      <c r="D52" s="8">
        <f>beregningsark!C59</f>
        <v>1.07</v>
      </c>
      <c r="E52" s="9">
        <f>beregningsark!U59*1000</f>
        <v>857.77672103215014</v>
      </c>
      <c r="F52" s="9">
        <f>beregningsark!V59</f>
        <v>433.96911389375254</v>
      </c>
      <c r="G52" s="8">
        <f t="shared" si="0"/>
        <v>27.130517466900123</v>
      </c>
      <c r="H52" s="8">
        <f>beregningsark!T59</f>
        <v>1.7333392740251177</v>
      </c>
      <c r="I52" s="55">
        <f>beregningsark!X59</f>
        <v>1.6304681230434255</v>
      </c>
    </row>
    <row r="53" spans="1:10" x14ac:dyDescent="0.25">
      <c r="A53" s="13">
        <v>49</v>
      </c>
      <c r="B53" s="56">
        <f>beregningsark!B60</f>
        <v>27.988294187932272</v>
      </c>
      <c r="C53" s="8">
        <f>beregningsark!N60</f>
        <v>10.9</v>
      </c>
      <c r="D53" s="8">
        <f>beregningsark!C60</f>
        <v>1.07</v>
      </c>
      <c r="E53" s="63">
        <f>beregningsark!U60*1000</f>
        <v>860.06126801662583</v>
      </c>
      <c r="F53" s="63">
        <f>beregningsark!V60</f>
        <v>442.6182487333117</v>
      </c>
      <c r="G53" s="56">
        <f t="shared" si="0"/>
        <v>27.988294187932272</v>
      </c>
      <c r="H53" s="56">
        <f>beregningsark!T60</f>
        <v>1.7440617962707785</v>
      </c>
      <c r="I53" s="57">
        <f>beregningsark!X60</f>
        <v>1.6345366992907442</v>
      </c>
    </row>
    <row r="54" spans="1:10" x14ac:dyDescent="0.25">
      <c r="A54" s="7">
        <v>50</v>
      </c>
      <c r="B54" s="8">
        <f>beregningsark!B61</f>
        <v>28.848355455948898</v>
      </c>
      <c r="C54" s="8">
        <f>beregningsark!N61</f>
        <v>10.9</v>
      </c>
      <c r="D54" s="8">
        <f>beregningsark!C61</f>
        <v>1.07</v>
      </c>
      <c r="E54" s="9">
        <f>beregningsark!U61*1000</f>
        <v>854.77846163380218</v>
      </c>
      <c r="F54" s="9">
        <f>beregningsark!V61</f>
        <v>450.96710911897799</v>
      </c>
      <c r="G54" s="8">
        <f t="shared" si="0"/>
        <v>28.848355455948898</v>
      </c>
      <c r="H54" s="8">
        <f>beregningsark!T61</f>
        <v>1.7548406602722972</v>
      </c>
      <c r="I54" s="55">
        <f>beregningsark!X61</f>
        <v>1.6387143118874732</v>
      </c>
    </row>
    <row r="55" spans="1:10" x14ac:dyDescent="0.25">
      <c r="A55" s="7">
        <v>51</v>
      </c>
      <c r="B55" s="8">
        <f>beregningsark!B62</f>
        <v>29.703133917582701</v>
      </c>
      <c r="C55" s="8">
        <f>beregningsark!N62</f>
        <v>10.9</v>
      </c>
      <c r="D55" s="8">
        <f>beregningsark!C62</f>
        <v>1.07</v>
      </c>
      <c r="E55" s="9">
        <f>beregningsark!U62*1000</f>
        <v>849.57271243694049</v>
      </c>
      <c r="F55" s="9">
        <f>beregningsark!V62</f>
        <v>458.88497877613139</v>
      </c>
      <c r="G55" s="8">
        <f t="shared" si="0"/>
        <v>29.703133917582701</v>
      </c>
      <c r="H55" s="8">
        <f>beregningsark!T62</f>
        <v>1.7655934307227852</v>
      </c>
      <c r="I55" s="55">
        <f>beregningsark!X62</f>
        <v>1.64295572253688</v>
      </c>
    </row>
    <row r="56" spans="1:10" x14ac:dyDescent="0.25">
      <c r="A56" s="7">
        <v>52</v>
      </c>
      <c r="B56" s="8">
        <f>beregningsark!B63</f>
        <v>30.552706630019642</v>
      </c>
      <c r="C56" s="8">
        <f>beregningsark!N63</f>
        <v>7.7</v>
      </c>
      <c r="D56" s="8">
        <f>beregningsark!C63</f>
        <v>1.05</v>
      </c>
      <c r="E56" s="9">
        <f>beregningsark!U63*1000</f>
        <v>748.10326761113652</v>
      </c>
      <c r="F56" s="9">
        <f>beregningsark!V63</f>
        <v>466.39820442345462</v>
      </c>
      <c r="G56" s="8">
        <f t="shared" si="0"/>
        <v>30.552706630019642</v>
      </c>
      <c r="H56" s="8">
        <f>beregningsark!T63</f>
        <v>2.0050707769127118</v>
      </c>
      <c r="I56" s="55">
        <f>beregningsark!X63</f>
        <v>1.6472517234731872</v>
      </c>
    </row>
    <row r="57" spans="1:10" x14ac:dyDescent="0.25">
      <c r="A57" s="7">
        <v>53</v>
      </c>
      <c r="B57" s="8">
        <f>beregningsark!B64</f>
        <v>31.300809897630778</v>
      </c>
      <c r="C57" s="8">
        <f>beregningsark!N64</f>
        <v>7.7</v>
      </c>
      <c r="D57" s="8">
        <f>beregningsark!C64</f>
        <v>1.05</v>
      </c>
      <c r="E57" s="9">
        <f>beregningsark!U64*1000</f>
        <v>747.82775839869589</v>
      </c>
      <c r="F57" s="9">
        <f>beregningsark!V64</f>
        <v>471.71339429492031</v>
      </c>
      <c r="G57" s="8">
        <f t="shared" si="0"/>
        <v>31.300809897630778</v>
      </c>
      <c r="H57" s="8">
        <f>beregningsark!T64</f>
        <v>2.0058094703677636</v>
      </c>
      <c r="I57" s="55">
        <f>beregningsark!X64</f>
        <v>1.6579588007313923</v>
      </c>
    </row>
    <row r="58" spans="1:10" x14ac:dyDescent="0.25">
      <c r="A58" s="7">
        <v>54</v>
      </c>
      <c r="B58" s="8">
        <f>beregningsark!B65</f>
        <v>32.04863765602947</v>
      </c>
      <c r="C58" s="8">
        <f>beregningsark!N65</f>
        <v>7.7</v>
      </c>
      <c r="D58" s="8">
        <f>beregningsark!C65</f>
        <v>1.05</v>
      </c>
      <c r="E58" s="9">
        <f>beregningsark!U65*1000</f>
        <v>742.09465303743832</v>
      </c>
      <c r="F58" s="9">
        <f>beregningsark!V65</f>
        <v>476.82662325980499</v>
      </c>
      <c r="G58" s="8">
        <f t="shared" si="0"/>
        <v>32.04863765602947</v>
      </c>
      <c r="H58" s="8">
        <f>beregningsark!T65</f>
        <v>2.0213054950071521</v>
      </c>
      <c r="I58" s="55">
        <f>beregningsark!X65</f>
        <v>1.6680615638370258</v>
      </c>
    </row>
    <row r="59" spans="1:10" x14ac:dyDescent="0.25">
      <c r="A59" s="7">
        <v>55</v>
      </c>
      <c r="B59" s="58">
        <f>beregningsark!B66</f>
        <v>32.790732309066911</v>
      </c>
      <c r="C59" s="8">
        <f>beregningsark!N66</f>
        <v>7.7</v>
      </c>
      <c r="D59" s="8">
        <f>beregningsark!C66</f>
        <v>1.05</v>
      </c>
      <c r="E59" s="64">
        <f>beregningsark!U66*1000</f>
        <v>739.38755893057214</v>
      </c>
      <c r="F59" s="64">
        <f>beregningsark!V66</f>
        <v>481.64967834667112</v>
      </c>
      <c r="G59" s="58">
        <f t="shared" si="0"/>
        <v>32.790732309066911</v>
      </c>
      <c r="H59" s="58">
        <f>beregningsark!T66</f>
        <v>2.0287060309339728</v>
      </c>
      <c r="I59" s="59">
        <f>beregningsark!X66</f>
        <v>1.677957116345008</v>
      </c>
      <c r="J59" s="11" t="s">
        <v>159</v>
      </c>
    </row>
    <row r="60" spans="1:10" x14ac:dyDescent="0.25">
      <c r="A60" s="13">
        <v>56</v>
      </c>
      <c r="B60" s="56">
        <f>beregningsark!B67</f>
        <v>33.530119867997485</v>
      </c>
      <c r="C60" s="8">
        <f>beregningsark!N67</f>
        <v>7.7</v>
      </c>
      <c r="D60" s="8">
        <f>beregningsark!C67</f>
        <v>1.05</v>
      </c>
      <c r="E60" s="63">
        <f>beregningsark!U67*1000</f>
        <v>736.69464517472636</v>
      </c>
      <c r="F60" s="63">
        <f>beregningsark!V67</f>
        <v>486.25214049995509</v>
      </c>
      <c r="G60" s="56">
        <f t="shared" si="0"/>
        <v>33.530119867997485</v>
      </c>
      <c r="H60" s="56">
        <f>beregningsark!T67</f>
        <v>2.0361217633721713</v>
      </c>
      <c r="I60" s="57">
        <f>beregningsark!X67</f>
        <v>1.6874811061405972</v>
      </c>
    </row>
    <row r="61" spans="1:10" x14ac:dyDescent="0.25">
      <c r="A61" s="7">
        <v>57</v>
      </c>
      <c r="B61" s="8">
        <f>beregningsark!B68</f>
        <v>34.266814513172214</v>
      </c>
      <c r="C61" s="8">
        <f>beregningsark!N68</f>
        <v>7.7</v>
      </c>
      <c r="D61" s="8">
        <f>beregningsark!C68</f>
        <v>1.05</v>
      </c>
      <c r="E61" s="9">
        <f>beregningsark!U68*1000</f>
        <v>748.01162065251765</v>
      </c>
      <c r="F61" s="9">
        <f>beregningsark!V68</f>
        <v>490.64586865214409</v>
      </c>
      <c r="G61" s="8">
        <f t="shared" si="0"/>
        <v>34.266814513172214</v>
      </c>
      <c r="H61" s="8">
        <f>beregningsark!T68</f>
        <v>2.0435511398426494</v>
      </c>
      <c r="I61" s="55">
        <f>beregningsark!X68</f>
        <v>1.6966649087918331</v>
      </c>
    </row>
    <row r="62" spans="1:10" x14ac:dyDescent="0.25">
      <c r="A62" s="7">
        <v>58</v>
      </c>
      <c r="B62" s="8">
        <f>beregningsark!B69</f>
        <v>35.014826133824734</v>
      </c>
      <c r="C62" s="8">
        <f>beregningsark!N69</f>
        <v>7.7</v>
      </c>
      <c r="D62" s="8">
        <f>beregningsark!C69</f>
        <v>1.05</v>
      </c>
      <c r="E62" s="9">
        <f>beregningsark!U69*1000</f>
        <v>759.18533740055182</v>
      </c>
      <c r="F62" s="9">
        <f>beregningsark!V69</f>
        <v>495.08320920387473</v>
      </c>
      <c r="G62" s="8">
        <f t="shared" si="0"/>
        <v>35.014826133824734</v>
      </c>
      <c r="H62" s="8">
        <f>beregningsark!T69</f>
        <v>2.0511460420611489</v>
      </c>
      <c r="I62" s="55">
        <f>beregningsark!X69</f>
        <v>1.7057011791373711</v>
      </c>
    </row>
    <row r="63" spans="1:10" x14ac:dyDescent="0.25">
      <c r="A63" s="7">
        <v>59</v>
      </c>
      <c r="B63" s="8">
        <f>beregningsark!B70</f>
        <v>35.774011471225286</v>
      </c>
      <c r="C63" s="8">
        <f>beregningsark!N70</f>
        <v>7.7</v>
      </c>
      <c r="D63" s="8">
        <f>beregningsark!C70</f>
        <v>1.05</v>
      </c>
      <c r="E63" s="9">
        <f>beregningsark!U70*1000</f>
        <v>770.21577662467064</v>
      </c>
      <c r="F63" s="9">
        <f>beregningsark!V70</f>
        <v>499.55951646144553</v>
      </c>
      <c r="G63" s="8">
        <f t="shared" si="0"/>
        <v>35.774011471225286</v>
      </c>
      <c r="H63" s="8">
        <f>beregningsark!T70</f>
        <v>2.058903554208507</v>
      </c>
      <c r="I63" s="55">
        <f>beregningsark!X70</f>
        <v>1.7145990746636759</v>
      </c>
    </row>
    <row r="64" spans="1:10" x14ac:dyDescent="0.25">
      <c r="A64" s="7">
        <v>60</v>
      </c>
      <c r="B64" s="8">
        <f>beregningsark!B71</f>
        <v>36.54422724784996</v>
      </c>
      <c r="C64" s="8">
        <f>beregningsark!N71</f>
        <v>7.7</v>
      </c>
      <c r="D64" s="8">
        <f>beregningsark!C71</f>
        <v>1.05</v>
      </c>
      <c r="E64" s="9">
        <f>beregningsark!U71*1000</f>
        <v>781.1030059233816</v>
      </c>
      <c r="F64" s="9">
        <f>beregningsark!V71</f>
        <v>504.07045413083262</v>
      </c>
      <c r="G64" s="8">
        <f t="shared" si="0"/>
        <v>36.54422724784996</v>
      </c>
      <c r="H64" s="8">
        <f>beregningsark!T71</f>
        <v>2.0668208773457932</v>
      </c>
      <c r="I64" s="55">
        <f>beregningsark!X71</f>
        <v>1.7233673179365081</v>
      </c>
    </row>
    <row r="65" spans="1:9" x14ac:dyDescent="0.25">
      <c r="A65" s="7">
        <v>61</v>
      </c>
      <c r="B65" s="8">
        <f>beregningsark!B72</f>
        <v>37.325330253773345</v>
      </c>
      <c r="C65" s="8">
        <f>beregningsark!N72</f>
        <v>7.7</v>
      </c>
      <c r="D65" s="8">
        <f>beregningsark!C72</f>
        <v>1.05</v>
      </c>
      <c r="E65" s="9">
        <f>beregningsark!U72*1000</f>
        <v>791.84717561994671</v>
      </c>
      <c r="F65" s="9">
        <f>beregningsark!V72</f>
        <v>508.61197137333346</v>
      </c>
      <c r="G65" s="8">
        <f t="shared" si="0"/>
        <v>37.325330253773345</v>
      </c>
      <c r="H65" s="8">
        <f>beregningsark!T72</f>
        <v>2.0748953214535057</v>
      </c>
      <c r="I65" s="55">
        <f>beregningsark!X72</f>
        <v>1.7320142076055407</v>
      </c>
    </row>
    <row r="66" spans="1:9" x14ac:dyDescent="0.25">
      <c r="A66" s="7">
        <v>62</v>
      </c>
      <c r="B66" s="8">
        <f>beregningsark!B73</f>
        <v>38.117177429393294</v>
      </c>
      <c r="C66" s="8">
        <f>beregningsark!N73</f>
        <v>7.7</v>
      </c>
      <c r="D66" s="8">
        <f>beregningsark!C73</f>
        <v>1.05</v>
      </c>
      <c r="E66" s="9">
        <f>beregningsark!U73*1000</f>
        <v>802.44851516004155</v>
      </c>
      <c r="F66" s="9">
        <f>beregningsark!V73</f>
        <v>513.18028111924662</v>
      </c>
      <c r="G66" s="8">
        <f t="shared" si="0"/>
        <v>38.117177429393294</v>
      </c>
      <c r="H66" s="8">
        <f>beregningsark!T73</f>
        <v>2.083124298219448</v>
      </c>
      <c r="I66" s="55">
        <f>beregningsark!X73</f>
        <v>1.7405476308539243</v>
      </c>
    </row>
    <row r="67" spans="1:9" x14ac:dyDescent="0.25">
      <c r="A67" s="13">
        <v>63</v>
      </c>
      <c r="B67" s="60">
        <f>beregningsark!B74</f>
        <v>38.919625944553339</v>
      </c>
      <c r="C67" s="8">
        <f>beregningsark!N74</f>
        <v>7.7</v>
      </c>
      <c r="D67" s="8">
        <f>beregningsark!C74</f>
        <v>1.05</v>
      </c>
      <c r="E67" s="63">
        <f>beregningsark!U74*1000</f>
        <v>812.81170467023026</v>
      </c>
      <c r="F67" s="63">
        <f>beregningsark!V74</f>
        <v>517.77184038973553</v>
      </c>
      <c r="G67" s="56">
        <f t="shared" si="0"/>
        <v>38.919625944553339</v>
      </c>
      <c r="H67" s="56">
        <f>beregningsark!T74</f>
        <v>2.0915053144931215</v>
      </c>
      <c r="I67" s="57">
        <f>beregningsark!X74</f>
        <v>1.7489750769111905</v>
      </c>
    </row>
    <row r="68" spans="1:9" x14ac:dyDescent="0.25">
      <c r="A68" s="7">
        <v>64</v>
      </c>
      <c r="B68" s="8">
        <f>beregningsark!B75</f>
        <v>39.73243764922357</v>
      </c>
      <c r="C68" s="8">
        <f>beregningsark!N75</f>
        <v>7.7</v>
      </c>
      <c r="D68" s="8">
        <f>beregningsark!C75</f>
        <v>1.05</v>
      </c>
      <c r="E68" s="9">
        <f>beregningsark!U75*1000</f>
        <v>826.53387290205251</v>
      </c>
      <c r="F68" s="9">
        <f>beregningsark!V75</f>
        <v>522.38183826911836</v>
      </c>
      <c r="G68" s="8">
        <f t="shared" si="0"/>
        <v>39.73243764922357</v>
      </c>
      <c r="H68" s="8">
        <f>beregningsark!T75</f>
        <v>2.1000349252542891</v>
      </c>
      <c r="I68" s="55">
        <f>beregningsark!X75</f>
        <v>1.7573026954124558</v>
      </c>
    </row>
    <row r="69" spans="1:9" x14ac:dyDescent="0.25">
      <c r="A69" s="7">
        <v>65</v>
      </c>
      <c r="B69" s="8">
        <f>beregningsark!B76</f>
        <v>40.558971522125624</v>
      </c>
      <c r="C69" s="8">
        <f>beregningsark!N76</f>
        <v>7.7</v>
      </c>
      <c r="D69" s="8">
        <f>beregningsark!C76</f>
        <v>1.05</v>
      </c>
      <c r="E69" s="9">
        <f>beregningsark!U76*1000</f>
        <v>840.07157336663977</v>
      </c>
      <c r="F69" s="9">
        <f>beregningsark!V76</f>
        <v>527.0611003403942</v>
      </c>
      <c r="G69" s="8">
        <f t="shared" ref="G69:G132" si="1">B69</f>
        <v>40.558971522125624</v>
      </c>
      <c r="H69" s="8">
        <f>beregningsark!T76</f>
        <v>2.1087488925504312</v>
      </c>
      <c r="I69" s="55">
        <f>beregningsark!X76</f>
        <v>1.7655714724572242</v>
      </c>
    </row>
    <row r="70" spans="1:9" x14ac:dyDescent="0.25">
      <c r="A70" s="7">
        <v>66</v>
      </c>
      <c r="B70" s="8">
        <f>beregningsark!B77</f>
        <v>41.399043095492267</v>
      </c>
      <c r="C70" s="8">
        <f>beregningsark!N77</f>
        <v>7.7</v>
      </c>
      <c r="D70" s="8">
        <f>beregningsark!C77</f>
        <v>1.05</v>
      </c>
      <c r="E70" s="9">
        <f>beregningsark!U77*1000</f>
        <v>853.42461456759156</v>
      </c>
      <c r="F70" s="9">
        <f>beregningsark!V77</f>
        <v>531.80368326503435</v>
      </c>
      <c r="G70" s="8">
        <f t="shared" si="1"/>
        <v>41.399043095492267</v>
      </c>
      <c r="H70" s="8">
        <f>beregningsark!T77</f>
        <v>2.1176445688945673</v>
      </c>
      <c r="I70" s="55">
        <f>beregningsark!X77</f>
        <v>1.773785189123438</v>
      </c>
    </row>
    <row r="71" spans="1:9" x14ac:dyDescent="0.25">
      <c r="A71" s="7">
        <v>67</v>
      </c>
      <c r="B71" s="8">
        <f>beregningsark!B78</f>
        <v>42.252467710059861</v>
      </c>
      <c r="C71" s="8">
        <f>beregningsark!N78</f>
        <v>7.7</v>
      </c>
      <c r="D71" s="8">
        <f>beregningsark!C78</f>
        <v>1.05</v>
      </c>
      <c r="E71" s="9">
        <f>beregningsark!U78*1000</f>
        <v>866.5929410508403</v>
      </c>
      <c r="F71" s="9">
        <f>beregningsark!V78</f>
        <v>536.60399567253523</v>
      </c>
      <c r="G71" s="8">
        <f t="shared" si="1"/>
        <v>42.252467710059861</v>
      </c>
      <c r="H71" s="8">
        <f>beregningsark!T78</f>
        <v>2.1267193773412894</v>
      </c>
      <c r="I71" s="55">
        <f>beregningsark!X78</f>
        <v>1.7819475790048012</v>
      </c>
    </row>
    <row r="72" spans="1:9" x14ac:dyDescent="0.25">
      <c r="A72" s="7">
        <v>68</v>
      </c>
      <c r="B72" s="8">
        <f>beregningsark!B79</f>
        <v>43.119060651110701</v>
      </c>
      <c r="C72" s="8">
        <f>beregningsark!N79</f>
        <v>7.7</v>
      </c>
      <c r="D72" s="8">
        <f>beregningsark!C79</f>
        <v>1.05</v>
      </c>
      <c r="E72" s="9">
        <f>beregningsark!U79*1000</f>
        <v>879.57662753620082</v>
      </c>
      <c r="F72" s="9">
        <f>beregningsark!V79</f>
        <v>541.45677428103977</v>
      </c>
      <c r="G72" s="8">
        <f t="shared" si="1"/>
        <v>43.119060651110701</v>
      </c>
      <c r="H72" s="8">
        <f>beregningsark!T79</f>
        <v>2.1359708082087208</v>
      </c>
      <c r="I72" s="55">
        <f>beregningsark!X79</f>
        <v>1.7900623109243075</v>
      </c>
    </row>
    <row r="73" spans="1:9" x14ac:dyDescent="0.25">
      <c r="A73" s="7">
        <v>69</v>
      </c>
      <c r="B73" s="8">
        <f>beregningsark!B80</f>
        <v>43.998637278646903</v>
      </c>
      <c r="C73" s="8">
        <f>beregningsark!N80</f>
        <v>7.7</v>
      </c>
      <c r="D73" s="8">
        <f>beregningsark!C80</f>
        <v>1.05</v>
      </c>
      <c r="E73" s="9">
        <f>beregningsark!U80*1000</f>
        <v>892.37587312521771</v>
      </c>
      <c r="F73" s="9">
        <f>beregningsark!V80</f>
        <v>546.35706200937545</v>
      </c>
      <c r="G73" s="8">
        <f t="shared" si="1"/>
        <v>43.998637278646903</v>
      </c>
      <c r="H73" s="8">
        <f>beregningsark!T80</f>
        <v>2.1453964160810051</v>
      </c>
      <c r="I73" s="55">
        <f>beregningsark!X80</f>
        <v>1.798132974784878</v>
      </c>
    </row>
    <row r="74" spans="1:9" x14ac:dyDescent="0.25">
      <c r="A74" s="13">
        <v>70</v>
      </c>
      <c r="B74" s="56">
        <f>beregningsark!B81</f>
        <v>44.891013151772121</v>
      </c>
      <c r="C74" s="8">
        <f>beregningsark!N81</f>
        <v>7.7</v>
      </c>
      <c r="D74" s="8">
        <f>beregningsark!C81</f>
        <v>1.05</v>
      </c>
      <c r="E74" s="63">
        <f>beregningsark!U81*1000</f>
        <v>904.87498597979516</v>
      </c>
      <c r="F74" s="63">
        <f>beregningsark!V81</f>
        <v>551.30018788245889</v>
      </c>
      <c r="G74" s="56">
        <f t="shared" si="1"/>
        <v>44.891013151772121</v>
      </c>
      <c r="H74" s="56">
        <f>beregningsark!T81</f>
        <v>2.1549938170614227</v>
      </c>
      <c r="I74" s="57">
        <f>beregningsark!X81</f>
        <v>1.8061630701703595</v>
      </c>
    </row>
    <row r="75" spans="1:9" x14ac:dyDescent="0.25">
      <c r="A75" s="7">
        <v>71</v>
      </c>
      <c r="B75" s="8">
        <f>beregningsark!B82</f>
        <v>45.795888137751916</v>
      </c>
      <c r="C75" s="8">
        <f>beregningsark!N82</f>
        <v>7.7</v>
      </c>
      <c r="D75" s="8">
        <f>beregningsark!C82</f>
        <v>1.05</v>
      </c>
      <c r="E75" s="9">
        <f>beregningsark!U82*1000</f>
        <v>917.30747191153193</v>
      </c>
      <c r="F75" s="9">
        <f>beregningsark!V82</f>
        <v>556.28011461622418</v>
      </c>
      <c r="G75" s="8">
        <f t="shared" si="1"/>
        <v>45.795888137751916</v>
      </c>
      <c r="H75" s="8">
        <f>beregningsark!T82</f>
        <v>2.1647594299673512</v>
      </c>
      <c r="I75" s="55">
        <f>beregningsark!X82</f>
        <v>1.8141549962184957</v>
      </c>
    </row>
    <row r="76" spans="1:9" x14ac:dyDescent="0.25">
      <c r="A76" s="7">
        <v>72</v>
      </c>
      <c r="B76" s="8">
        <f>beregningsark!B83</f>
        <v>46.713195609663451</v>
      </c>
      <c r="C76" s="8">
        <f>beregningsark!N83</f>
        <v>7.7</v>
      </c>
      <c r="D76" s="8">
        <f>beregningsark!C83</f>
        <v>1.05</v>
      </c>
      <c r="E76" s="9">
        <f>beregningsark!U83*1000</f>
        <v>929.55681391305905</v>
      </c>
      <c r="F76" s="9">
        <f>beregningsark!V83</f>
        <v>561.29438346754796</v>
      </c>
      <c r="G76" s="8">
        <f t="shared" si="1"/>
        <v>46.713195609663451</v>
      </c>
      <c r="H76" s="8">
        <f>beregningsark!T83</f>
        <v>2.174692250912885</v>
      </c>
      <c r="I76" s="55">
        <f>beregningsark!X83</f>
        <v>1.8221130916353854</v>
      </c>
    </row>
    <row r="77" spans="1:9" x14ac:dyDescent="0.25">
      <c r="A77" s="7">
        <v>73</v>
      </c>
      <c r="B77" s="8">
        <f>beregningsark!B84</f>
        <v>47.642752423576511</v>
      </c>
      <c r="C77" s="8">
        <f>beregningsark!N84</f>
        <v>7.7</v>
      </c>
      <c r="D77" s="8">
        <f>beregningsark!C84</f>
        <v>1.05</v>
      </c>
      <c r="E77" s="9">
        <f>beregningsark!U84*1000</f>
        <v>941.62365150926109</v>
      </c>
      <c r="F77" s="9">
        <f>beregningsark!V84</f>
        <v>566.33907429556859</v>
      </c>
      <c r="G77" s="8">
        <f t="shared" si="1"/>
        <v>47.642752423576511</v>
      </c>
      <c r="H77" s="8">
        <f>beregningsark!T84</f>
        <v>2.1847900662887785</v>
      </c>
      <c r="I77" s="55">
        <f>beregningsark!X84</f>
        <v>1.8300405357637362</v>
      </c>
    </row>
    <row r="78" spans="1:9" x14ac:dyDescent="0.25">
      <c r="A78" s="7">
        <v>74</v>
      </c>
      <c r="B78" s="8">
        <f>beregningsark!B85</f>
        <v>48.584376075085771</v>
      </c>
      <c r="C78" s="8">
        <f>beregningsark!N85</f>
        <v>7.7</v>
      </c>
      <c r="D78" s="8">
        <f>beregningsark!C85</f>
        <v>1.05</v>
      </c>
      <c r="E78" s="9">
        <f>beregningsark!U85*1000</f>
        <v>953.50872108553165</v>
      </c>
      <c r="F78" s="9">
        <f>beregningsark!V85</f>
        <v>571.41048750115908</v>
      </c>
      <c r="G78" s="8">
        <f t="shared" si="1"/>
        <v>48.584376075085771</v>
      </c>
      <c r="H78" s="8">
        <f>beregningsark!T85</f>
        <v>2.1950507150235641</v>
      </c>
      <c r="I78" s="55">
        <f>beregningsark!X85</f>
        <v>1.8379403933307727</v>
      </c>
    </row>
    <row r="79" spans="1:9" x14ac:dyDescent="0.25">
      <c r="A79" s="7">
        <v>75</v>
      </c>
      <c r="B79" s="8">
        <f>beregningsark!B86</f>
        <v>49.537884796171305</v>
      </c>
      <c r="C79" s="8">
        <f>beregningsark!N86</f>
        <v>7.7</v>
      </c>
      <c r="D79" s="8">
        <f>beregningsark!C86</f>
        <v>1.05</v>
      </c>
      <c r="E79" s="9">
        <f>beregningsark!U86*1000</f>
        <v>965.21285070464057</v>
      </c>
      <c r="F79" s="9">
        <f>beregningsark!V86</f>
        <v>576.50513061561753</v>
      </c>
      <c r="G79" s="8">
        <f t="shared" si="1"/>
        <v>49.537884796171305</v>
      </c>
      <c r="H79" s="8">
        <f>beregningsark!T86</f>
        <v>2.2054720867484674</v>
      </c>
      <c r="I79" s="55">
        <f>beregningsark!X86</f>
        <v>1.8458156121979521</v>
      </c>
    </row>
    <row r="80" spans="1:9" x14ac:dyDescent="0.25">
      <c r="A80" s="7">
        <v>76</v>
      </c>
      <c r="B80" s="8">
        <f>beregningsark!B87</f>
        <v>50.503097646875943</v>
      </c>
      <c r="C80" s="8">
        <f>beregningsark!N87</f>
        <v>7.7</v>
      </c>
      <c r="D80" s="8">
        <f>beregningsark!C87</f>
        <v>1.05</v>
      </c>
      <c r="E80" s="9">
        <f>beregningsark!U87*1000</f>
        <v>976.7369550449157</v>
      </c>
      <c r="F80" s="9">
        <f>beregningsark!V87</f>
        <v>581.61970587994676</v>
      </c>
      <c r="G80" s="8">
        <f t="shared" si="1"/>
        <v>50.503097646875943</v>
      </c>
      <c r="H80" s="8">
        <f>beregningsark!T87</f>
        <v>2.2160521200925229</v>
      </c>
      <c r="I80" s="55">
        <f>beregningsark!X87</f>
        <v>1.8536690222428434</v>
      </c>
    </row>
    <row r="81" spans="1:10" x14ac:dyDescent="0.25">
      <c r="A81" s="13">
        <v>77</v>
      </c>
      <c r="B81" s="56">
        <f>beregningsark!B88</f>
        <v>51.479834601920857</v>
      </c>
      <c r="C81" s="8">
        <f>beregningsark!N88</f>
        <v>7.7</v>
      </c>
      <c r="D81" s="8">
        <f>beregningsark!C88</f>
        <v>1.05</v>
      </c>
      <c r="E81" s="63">
        <f>beregningsark!U88*1000</f>
        <v>987.96976117283953</v>
      </c>
      <c r="F81" s="63">
        <f>beregningsark!V88</f>
        <v>586.751098726245</v>
      </c>
      <c r="G81" s="56">
        <f t="shared" si="1"/>
        <v>51.479834601920857</v>
      </c>
      <c r="H81" s="56">
        <f>beregningsark!T88</f>
        <v>2.2267888010948171</v>
      </c>
      <c r="I81" s="57">
        <f>beregningsark!X88</f>
        <v>1.8615033351984378</v>
      </c>
    </row>
    <row r="82" spans="1:10" x14ac:dyDescent="0.25">
      <c r="A82" s="7">
        <v>78</v>
      </c>
      <c r="B82" s="8">
        <f>beregningsark!B89</f>
        <v>52.467804363093698</v>
      </c>
      <c r="C82" s="8">
        <f>beregningsark!N89</f>
        <v>7.7</v>
      </c>
      <c r="D82" s="8">
        <f>beregningsark!C89</f>
        <v>1.05</v>
      </c>
      <c r="E82" s="9">
        <f>beregningsark!U89*1000</f>
        <v>995.94269308002163</v>
      </c>
      <c r="F82" s="9">
        <f>beregningsark!V89</f>
        <v>591.89492773197048</v>
      </c>
      <c r="G82" s="8">
        <f t="shared" si="1"/>
        <v>52.467804363093698</v>
      </c>
      <c r="H82" s="8">
        <f>beregningsark!T89</f>
        <v>2.2376789502897005</v>
      </c>
      <c r="I82" s="55">
        <f>beregningsark!X89</f>
        <v>1.8693202760185659</v>
      </c>
    </row>
    <row r="83" spans="1:10" x14ac:dyDescent="0.25">
      <c r="A83" s="7">
        <v>79</v>
      </c>
      <c r="B83" s="8">
        <f>beregningsark!B90</f>
        <v>53.463747056173723</v>
      </c>
      <c r="C83" s="8">
        <f>beregningsark!N90</f>
        <v>7.7</v>
      </c>
      <c r="D83" s="8">
        <f>beregningsark!C90</f>
        <v>1.05</v>
      </c>
      <c r="E83" s="9">
        <f>beregningsark!U90*1000</f>
        <v>1003.7855869048107</v>
      </c>
      <c r="F83" s="9">
        <f>beregningsark!V90</f>
        <v>597.00945640726229</v>
      </c>
      <c r="G83" s="8">
        <f t="shared" si="1"/>
        <v>53.463747056173723</v>
      </c>
      <c r="H83" s="8">
        <f>beregningsark!T90</f>
        <v>2.248687398431485</v>
      </c>
      <c r="I83" s="55">
        <f>beregningsark!X90</f>
        <v>1.8770987956013299</v>
      </c>
    </row>
    <row r="84" spans="1:10" x14ac:dyDescent="0.25">
      <c r="A84" s="7">
        <v>80</v>
      </c>
      <c r="B84" s="8">
        <f>beregningsark!B91</f>
        <v>54.467532643078535</v>
      </c>
      <c r="C84" s="8">
        <f>beregningsark!N91</f>
        <v>7.7</v>
      </c>
      <c r="D84" s="8">
        <f>beregningsark!C91</f>
        <v>1.05</v>
      </c>
      <c r="E84" s="9">
        <f>beregningsark!U91*1000</f>
        <v>1011.4997686548714</v>
      </c>
      <c r="F84" s="9">
        <f>beregningsark!V91</f>
        <v>602.09415803848174</v>
      </c>
      <c r="G84" s="8">
        <f t="shared" si="1"/>
        <v>54.467532643078535</v>
      </c>
      <c r="H84" s="8">
        <f>beregningsark!T91</f>
        <v>2.2598126770110274</v>
      </c>
      <c r="I84" s="55">
        <f>beregningsark!X91</f>
        <v>1.8848425031012115</v>
      </c>
    </row>
    <row r="85" spans="1:10" x14ac:dyDescent="0.25">
      <c r="A85" s="7">
        <v>81</v>
      </c>
      <c r="B85" s="8">
        <f>beregningsark!B92</f>
        <v>55.479032411733407</v>
      </c>
      <c r="C85" s="8">
        <f>beregningsark!N92</f>
        <v>7.7</v>
      </c>
      <c r="D85" s="8">
        <f>beregningsark!C92</f>
        <v>1.05</v>
      </c>
      <c r="E85" s="9">
        <f>beregningsark!U92*1000</f>
        <v>1019.0865802751055</v>
      </c>
      <c r="F85" s="9">
        <f>beregningsark!V92</f>
        <v>607.14854829300498</v>
      </c>
      <c r="G85" s="8">
        <f t="shared" si="1"/>
        <v>55.479032411733407</v>
      </c>
      <c r="H85" s="8">
        <f>beregningsark!T92</f>
        <v>2.2710533577777277</v>
      </c>
      <c r="I85" s="55">
        <f>beregningsark!X92</f>
        <v>1.8925547785479273</v>
      </c>
    </row>
    <row r="86" spans="1:10" x14ac:dyDescent="0.25">
      <c r="A86" s="7">
        <v>82</v>
      </c>
      <c r="B86" s="8">
        <f>beregningsark!B93</f>
        <v>56.498118992008514</v>
      </c>
      <c r="C86" s="8">
        <f>beregningsark!N93</f>
        <v>7.7</v>
      </c>
      <c r="D86" s="8">
        <f>beregningsark!C93</f>
        <v>1.05</v>
      </c>
      <c r="E86" s="9">
        <f>beregningsark!U93*1000</f>
        <v>1026.5473778012217</v>
      </c>
      <c r="F86" s="9">
        <f>beregningsark!V93</f>
        <v>612.1721828293721</v>
      </c>
      <c r="G86" s="8">
        <f t="shared" si="1"/>
        <v>56.498118992008514</v>
      </c>
      <c r="H86" s="8">
        <f>beregningsark!T93</f>
        <v>2.2824080511690648</v>
      </c>
      <c r="I86" s="55">
        <f>beregningsark!X93</f>
        <v>1.9002387880385556</v>
      </c>
    </row>
    <row r="87" spans="1:10" x14ac:dyDescent="0.25">
      <c r="A87" s="7">
        <v>83</v>
      </c>
      <c r="B87" s="8">
        <f>beregningsark!B94</f>
        <v>57.524666369809736</v>
      </c>
      <c r="C87" s="8">
        <f>beregningsark!N94</f>
        <v>7.7</v>
      </c>
      <c r="D87" s="8">
        <f>beregningsark!C94</f>
        <v>1.05</v>
      </c>
      <c r="E87" s="9">
        <f>beregningsark!U94*1000</f>
        <v>1033.8835295931538</v>
      </c>
      <c r="F87" s="9">
        <f>beregningsark!V94</f>
        <v>617.16465505794872</v>
      </c>
      <c r="G87" s="8">
        <f t="shared" si="1"/>
        <v>57.524666369809736</v>
      </c>
      <c r="H87" s="8">
        <f>beregningsark!T94</f>
        <v>2.2938754048371917</v>
      </c>
      <c r="I87" s="55">
        <f>beregningsark!X94</f>
        <v>1.907897497850555</v>
      </c>
    </row>
    <row r="88" spans="1:10" x14ac:dyDescent="0.25">
      <c r="A88" s="13">
        <v>84</v>
      </c>
      <c r="B88" s="56">
        <f>beregningsark!B95</f>
        <v>58.558549899402891</v>
      </c>
      <c r="C88" s="8">
        <f>beregningsark!N95</f>
        <v>6</v>
      </c>
      <c r="D88" s="8">
        <f>beregningsark!C95</f>
        <v>1.03</v>
      </c>
      <c r="E88" s="63">
        <f>beregningsark!U95*1000</f>
        <v>921.61121635202642</v>
      </c>
      <c r="F88" s="63">
        <f>beregningsark!V95</f>
        <v>622.12559404051058</v>
      </c>
      <c r="G88" s="56">
        <f t="shared" si="1"/>
        <v>58.558549899402891</v>
      </c>
      <c r="H88" s="56">
        <f>beregningsark!T95</f>
        <v>2.6041349729876506</v>
      </c>
      <c r="I88" s="57">
        <f>beregningsark!X95</f>
        <v>1.915533687557091</v>
      </c>
    </row>
    <row r="89" spans="1:10" x14ac:dyDescent="0.25">
      <c r="A89" s="7">
        <v>85</v>
      </c>
      <c r="B89" s="8">
        <f>beregningsark!B96</f>
        <v>59.480161115754917</v>
      </c>
      <c r="C89" s="8">
        <f>beregningsark!N96</f>
        <v>6</v>
      </c>
      <c r="D89" s="8">
        <f>beregningsark!C96</f>
        <v>1.03</v>
      </c>
      <c r="E89" s="9">
        <f>beregningsark!U96*1000</f>
        <v>932.27089979846698</v>
      </c>
      <c r="F89" s="9">
        <f>beregningsark!V96</f>
        <v>625.64895430299907</v>
      </c>
      <c r="G89" s="8">
        <f t="shared" si="1"/>
        <v>59.480161115754917</v>
      </c>
      <c r="H89" s="8">
        <f>beregningsark!T96</f>
        <v>2.6050367983437011</v>
      </c>
      <c r="I89" s="55">
        <f>beregningsark!X96</f>
        <v>1.9274671351987007</v>
      </c>
    </row>
    <row r="90" spans="1:10" x14ac:dyDescent="0.25">
      <c r="A90" s="7">
        <v>86</v>
      </c>
      <c r="B90" s="8">
        <f>beregningsark!B97</f>
        <v>60.412432015553385</v>
      </c>
      <c r="C90" s="8">
        <f>beregningsark!N97</f>
        <v>6</v>
      </c>
      <c r="D90" s="8">
        <f>beregningsark!C97</f>
        <v>1.03</v>
      </c>
      <c r="E90" s="9">
        <f>beregningsark!U97*1000</f>
        <v>942.92148230016699</v>
      </c>
      <c r="F90" s="9">
        <f>beregningsark!V97</f>
        <v>629.21432576224868</v>
      </c>
      <c r="G90" s="8">
        <f t="shared" si="1"/>
        <v>60.412432015553385</v>
      </c>
      <c r="H90" s="8">
        <f>beregningsark!T97</f>
        <v>2.6059433856633478</v>
      </c>
      <c r="I90" s="55">
        <f>beregningsark!X97</f>
        <v>1.939140579839939</v>
      </c>
    </row>
    <row r="91" spans="1:10" x14ac:dyDescent="0.25">
      <c r="A91" s="7">
        <v>87</v>
      </c>
      <c r="B91" s="8">
        <f>beregningsark!B98</f>
        <v>61.35535349785355</v>
      </c>
      <c r="C91" s="8">
        <f>beregningsark!N98</f>
        <v>6</v>
      </c>
      <c r="D91" s="8">
        <f>beregningsark!C98</f>
        <v>1.03</v>
      </c>
      <c r="E91" s="9">
        <f>beregningsark!U98*1000</f>
        <v>953.56294404264349</v>
      </c>
      <c r="F91" s="9">
        <f>beregningsark!V98</f>
        <v>632.82015514774207</v>
      </c>
      <c r="G91" s="8">
        <f t="shared" si="1"/>
        <v>61.35535349785355</v>
      </c>
      <c r="H91" s="8">
        <f>beregningsark!T98</f>
        <v>2.6068546555106429</v>
      </c>
      <c r="I91" s="55">
        <f>beregningsark!X98</f>
        <v>1.9505607715219966</v>
      </c>
    </row>
    <row r="92" spans="1:10" x14ac:dyDescent="0.25">
      <c r="A92" s="7">
        <v>88</v>
      </c>
      <c r="B92" s="8">
        <f>beregningsark!B99</f>
        <v>62.308916441896194</v>
      </c>
      <c r="C92" s="8">
        <f>beregningsark!N99</f>
        <v>6</v>
      </c>
      <c r="D92" s="8">
        <f>beregningsark!C99</f>
        <v>1.03</v>
      </c>
      <c r="E92" s="9">
        <f>beregningsark!U99*1000</f>
        <v>964.19526596692162</v>
      </c>
      <c r="F92" s="9">
        <f>beregningsark!V99</f>
        <v>636.46495956700221</v>
      </c>
      <c r="G92" s="8">
        <f t="shared" si="1"/>
        <v>62.308916441896194</v>
      </c>
      <c r="H92" s="8">
        <f>beregningsark!T99</f>
        <v>2.6077705302550829</v>
      </c>
      <c r="I92" s="55">
        <f>beregningsark!X99</f>
        <v>1.961734305450699</v>
      </c>
    </row>
    <row r="93" spans="1:10" x14ac:dyDescent="0.25">
      <c r="A93" s="7">
        <v>89</v>
      </c>
      <c r="B93" s="8">
        <f>beregningsark!B100</f>
        <v>63.273111707863116</v>
      </c>
      <c r="C93" s="8">
        <f>beregningsark!N100</f>
        <v>6</v>
      </c>
      <c r="D93" s="8">
        <f>beregningsark!C100</f>
        <v>1.03</v>
      </c>
      <c r="E93" s="9">
        <f>beregningsark!U100*1000</f>
        <v>974.81842974561039</v>
      </c>
      <c r="F93" s="9">
        <f>beregningsark!V100</f>
        <v>640.14732256025979</v>
      </c>
      <c r="G93" s="8">
        <f t="shared" si="1"/>
        <v>63.273111707863116</v>
      </c>
      <c r="H93" s="8">
        <f>beregningsark!T100</f>
        <v>2.6086909340271949</v>
      </c>
      <c r="I93" s="55">
        <f>beregningsark!X100</f>
        <v>1.9726676220789632</v>
      </c>
    </row>
    <row r="94" spans="1:10" x14ac:dyDescent="0.25">
      <c r="A94" s="61">
        <v>90</v>
      </c>
      <c r="B94" s="58">
        <f>beregningsark!B101</f>
        <v>64.247930137608719</v>
      </c>
      <c r="C94" s="8">
        <f>beregningsark!N101</f>
        <v>6</v>
      </c>
      <c r="D94" s="8">
        <f>beregningsark!C101</f>
        <v>1.03</v>
      </c>
      <c r="E94" s="64">
        <f>beregningsark!U101*1000</f>
        <v>985.43241775987383</v>
      </c>
      <c r="F94" s="64">
        <f>beregningsark!V101</f>
        <v>643.86589041787465</v>
      </c>
      <c r="G94" s="58">
        <f t="shared" si="1"/>
        <v>64.247930137608719</v>
      </c>
      <c r="H94" s="58">
        <f>beregningsark!T101</f>
        <v>2.6096157926749237</v>
      </c>
      <c r="I94" s="59">
        <f>beregningsark!X101</f>
        <v>1.9833670076266896</v>
      </c>
      <c r="J94" s="11" t="s">
        <v>163</v>
      </c>
    </row>
    <row r="95" spans="1:10" x14ac:dyDescent="0.25">
      <c r="A95" s="13">
        <v>91</v>
      </c>
      <c r="B95" s="56">
        <f>beregningsark!B102</f>
        <v>65.233362555368586</v>
      </c>
      <c r="C95" s="8">
        <f>beregningsark!N102</f>
        <v>6</v>
      </c>
      <c r="D95" s="8">
        <f>beregningsark!C102</f>
        <v>1.03</v>
      </c>
      <c r="E95" s="63">
        <f>beregningsark!U102*1000</f>
        <v>995.9606007233599</v>
      </c>
      <c r="F95" s="63">
        <f>beregningsark!V102</f>
        <v>647.61936874031414</v>
      </c>
      <c r="G95" s="56">
        <f t="shared" si="1"/>
        <v>65.233362555368586</v>
      </c>
      <c r="H95" s="56">
        <f>beregningsark!T102</f>
        <v>2.6105450337208485</v>
      </c>
      <c r="I95" s="57">
        <f>beregningsark!X102</f>
        <v>1.9938385949858783</v>
      </c>
    </row>
    <row r="96" spans="1:10" x14ac:dyDescent="0.25">
      <c r="A96" s="7">
        <v>92</v>
      </c>
      <c r="B96" s="8">
        <f>beregningsark!B103</f>
        <v>66.229323156091951</v>
      </c>
      <c r="C96" s="8">
        <f>beregningsark!N103</f>
        <v>6</v>
      </c>
      <c r="D96" s="8">
        <f>beregningsark!C103</f>
        <v>1.03</v>
      </c>
      <c r="E96" s="9">
        <f>beregningsark!U103*1000</f>
        <v>1003.8183294302019</v>
      </c>
      <c r="F96" s="9">
        <f>beregningsark!V103</f>
        <v>651.40568647926034</v>
      </c>
      <c r="G96" s="8">
        <f t="shared" si="1"/>
        <v>66.229323156091951</v>
      </c>
      <c r="H96" s="8">
        <f>beregningsark!T103</f>
        <v>2.6114785147308637</v>
      </c>
      <c r="I96" s="55">
        <f>beregningsark!X103</f>
        <v>2.004087589682392</v>
      </c>
    </row>
    <row r="97" spans="1:9" x14ac:dyDescent="0.25">
      <c r="A97" s="7">
        <v>93</v>
      </c>
      <c r="B97" s="8">
        <f>beregningsark!B104</f>
        <v>67.233141485522154</v>
      </c>
      <c r="C97" s="8">
        <f>beregningsark!N104</f>
        <v>6</v>
      </c>
      <c r="D97" s="8">
        <f>beregningsark!C104</f>
        <v>1.03</v>
      </c>
      <c r="E97" s="9">
        <f>beregningsark!U104*1000</f>
        <v>1011.6697842042133</v>
      </c>
      <c r="F97" s="9">
        <f>beregningsark!V104</f>
        <v>655.19506973679745</v>
      </c>
      <c r="G97" s="8">
        <f t="shared" si="1"/>
        <v>67.233141485522154</v>
      </c>
      <c r="H97" s="8">
        <f>beregningsark!T104</f>
        <v>2.6124136959165232</v>
      </c>
      <c r="I97" s="55">
        <f>beregningsark!X104</f>
        <v>2.0140938051642916</v>
      </c>
    </row>
    <row r="98" spans="1:9" x14ac:dyDescent="0.25">
      <c r="A98" s="7">
        <v>94</v>
      </c>
      <c r="B98" s="8">
        <f>beregningsark!B105</f>
        <v>68.24481126972637</v>
      </c>
      <c r="C98" s="8">
        <f>beregningsark!N105</f>
        <v>6</v>
      </c>
      <c r="D98" s="8">
        <f>beregningsark!C105</f>
        <v>1.03</v>
      </c>
      <c r="E98" s="9">
        <f>beregningsark!U105*1000</f>
        <v>1013.0012373385599</v>
      </c>
      <c r="F98" s="9">
        <f>beregningsark!V105</f>
        <v>658.98735393325921</v>
      </c>
      <c r="G98" s="8">
        <f t="shared" si="1"/>
        <v>68.24481126972637</v>
      </c>
      <c r="H98" s="8">
        <f>beregningsark!T105</f>
        <v>2.6301547340652811</v>
      </c>
      <c r="I98" s="55">
        <f>beregningsark!X105</f>
        <v>2.0238654412764223</v>
      </c>
    </row>
    <row r="99" spans="1:9" x14ac:dyDescent="0.25">
      <c r="A99" s="7">
        <v>95</v>
      </c>
      <c r="B99" s="8">
        <f>beregningsark!B106</f>
        <v>69.257812507064926</v>
      </c>
      <c r="C99" s="8">
        <f>beregningsark!N106</f>
        <v>6</v>
      </c>
      <c r="D99" s="8">
        <f>beregningsark!C106</f>
        <v>1.03</v>
      </c>
      <c r="E99" s="9">
        <f>beregningsark!U106*1000</f>
        <v>1017.0934440699908</v>
      </c>
      <c r="F99" s="9">
        <f>beregningsark!V106</f>
        <v>662.71381586384132</v>
      </c>
      <c r="G99" s="8">
        <f t="shared" si="1"/>
        <v>69.257812507064926</v>
      </c>
      <c r="H99" s="8">
        <f>beregningsark!T106</f>
        <v>2.6406619919331411</v>
      </c>
      <c r="I99" s="55">
        <f>beregningsark!X106</f>
        <v>2.0336207326266633</v>
      </c>
    </row>
    <row r="100" spans="1:9" x14ac:dyDescent="0.25">
      <c r="A100" s="7">
        <v>96</v>
      </c>
      <c r="B100" s="8">
        <f>beregningsark!B107</f>
        <v>70.274905951134912</v>
      </c>
      <c r="C100" s="8">
        <f>beregningsark!N107</f>
        <v>6</v>
      </c>
      <c r="D100" s="8">
        <f>beregningsark!C107</f>
        <v>1.03</v>
      </c>
      <c r="E100" s="9">
        <f>beregningsark!U107*1000</f>
        <v>1021.1263429355395</v>
      </c>
      <c r="F100" s="9">
        <f>beregningsark!V107</f>
        <v>666.40527032432203</v>
      </c>
      <c r="G100" s="8">
        <f t="shared" si="1"/>
        <v>70.274905951134912</v>
      </c>
      <c r="H100" s="8">
        <f>beregningsark!T107</f>
        <v>2.651239015357477</v>
      </c>
      <c r="I100" s="55">
        <f>beregningsark!X107</f>
        <v>2.043271668035497</v>
      </c>
    </row>
    <row r="101" spans="1:9" x14ac:dyDescent="0.25">
      <c r="A101" s="7">
        <v>97</v>
      </c>
      <c r="B101" s="8">
        <f>beregningsark!B108</f>
        <v>71.296032294070457</v>
      </c>
      <c r="C101" s="8">
        <f>beregningsark!N108</f>
        <v>6</v>
      </c>
      <c r="D101" s="8">
        <f>beregningsark!C108</f>
        <v>1.03</v>
      </c>
      <c r="E101" s="9">
        <f>beregningsark!U108*1000</f>
        <v>1025.1006502753239</v>
      </c>
      <c r="F101" s="9">
        <f>beregningsark!V108</f>
        <v>670.06218859866453</v>
      </c>
      <c r="G101" s="8">
        <f t="shared" si="1"/>
        <v>71.296032294070457</v>
      </c>
      <c r="H101" s="8">
        <f>beregningsark!T108</f>
        <v>2.6618849566304736</v>
      </c>
      <c r="I101" s="55">
        <f>beregningsark!X108</f>
        <v>2.0528231968301514</v>
      </c>
    </row>
    <row r="102" spans="1:9" x14ac:dyDescent="0.25">
      <c r="A102" s="13">
        <v>98</v>
      </c>
      <c r="B102" s="56">
        <f>beregningsark!B109</f>
        <v>72.321132944345777</v>
      </c>
      <c r="C102" s="8">
        <f>beregningsark!N109</f>
        <v>6</v>
      </c>
      <c r="D102" s="8">
        <f>beregningsark!C109</f>
        <v>1.03</v>
      </c>
      <c r="E102" s="63">
        <f>beregningsark!U109*1000</f>
        <v>1028.9609502954295</v>
      </c>
      <c r="F102" s="63">
        <f>beregningsark!V109</f>
        <v>673.68503004434467</v>
      </c>
      <c r="G102" s="56">
        <f t="shared" si="1"/>
        <v>72.321132944345777</v>
      </c>
      <c r="H102" s="56">
        <f>beregningsark!T109</f>
        <v>2.6725989933927381</v>
      </c>
      <c r="I102" s="57">
        <f>beregningsark!X109</f>
        <v>2.0622800113103792</v>
      </c>
    </row>
    <row r="103" spans="1:9" x14ac:dyDescent="0.25">
      <c r="A103" s="7">
        <v>99</v>
      </c>
      <c r="B103" s="8">
        <f>beregningsark!B110</f>
        <v>73.350093894641205</v>
      </c>
      <c r="C103" s="8">
        <f>beregningsark!N110</f>
        <v>6</v>
      </c>
      <c r="D103" s="8">
        <f>beregningsark!C110</f>
        <v>1.03</v>
      </c>
      <c r="E103" s="9">
        <f>beregningsark!U110*1000</f>
        <v>1032.8206525811202</v>
      </c>
      <c r="F103" s="9">
        <f>beregningsark!V110</f>
        <v>677.27367570344654</v>
      </c>
      <c r="G103" s="8">
        <f t="shared" si="1"/>
        <v>73.350093894641205</v>
      </c>
      <c r="H103" s="8">
        <f>beregningsark!T110</f>
        <v>2.6833797262611614</v>
      </c>
      <c r="I103" s="55">
        <f>beregningsark!X110</f>
        <v>2.0716460593396873</v>
      </c>
    </row>
    <row r="104" spans="1:9" x14ac:dyDescent="0.25">
      <c r="A104" s="7">
        <v>100</v>
      </c>
      <c r="B104" s="8">
        <f>beregningsark!B111</f>
        <v>74.382914547222327</v>
      </c>
      <c r="C104" s="8">
        <f>beregningsark!N111</f>
        <v>6</v>
      </c>
      <c r="D104" s="8">
        <f>beregningsark!C111</f>
        <v>1.03</v>
      </c>
      <c r="E104" s="9">
        <f>beregningsark!U111*1000</f>
        <v>1036.6238682660348</v>
      </c>
      <c r="F104" s="9">
        <f>beregningsark!V111</f>
        <v>680.82914547222333</v>
      </c>
      <c r="G104" s="8">
        <f t="shared" si="1"/>
        <v>74.382914547222327</v>
      </c>
      <c r="H104" s="8">
        <f>beregningsark!T111</f>
        <v>2.6942269857935028</v>
      </c>
      <c r="I104" s="55">
        <f>beregningsark!X111</f>
        <v>2.0809260845747617</v>
      </c>
    </row>
    <row r="105" spans="1:9" x14ac:dyDescent="0.25">
      <c r="A105" s="7">
        <v>101</v>
      </c>
      <c r="B105" s="8">
        <f>beregningsark!B112</f>
        <v>75.419538415488361</v>
      </c>
      <c r="C105" s="8">
        <f>beregningsark!N112</f>
        <v>6</v>
      </c>
      <c r="D105" s="8">
        <f>beregningsark!C112</f>
        <v>1.03</v>
      </c>
      <c r="E105" s="9">
        <f>beregningsark!U112*1000</f>
        <v>1040.3712856595926</v>
      </c>
      <c r="F105" s="9">
        <f>beregningsark!V112</f>
        <v>684.35186549988475</v>
      </c>
      <c r="G105" s="8">
        <f t="shared" si="1"/>
        <v>75.419538415488361</v>
      </c>
      <c r="H105" s="8">
        <f>beregningsark!T112</f>
        <v>2.7051400195226556</v>
      </c>
      <c r="I105" s="55">
        <f>beregningsark!X112</f>
        <v>2.0901240967028341</v>
      </c>
    </row>
    <row r="106" spans="1:9" x14ac:dyDescent="0.25">
      <c r="A106" s="7">
        <v>102</v>
      </c>
      <c r="B106" s="8">
        <f>beregningsark!B113</f>
        <v>76.45990970114795</v>
      </c>
      <c r="C106" s="8">
        <f>beregningsark!N113</f>
        <v>6</v>
      </c>
      <c r="D106" s="8">
        <f>beregningsark!C113</f>
        <v>1.03</v>
      </c>
      <c r="E106" s="9">
        <f>beregningsark!U113*1000</f>
        <v>1044.063586083266</v>
      </c>
      <c r="F106" s="9">
        <f>beregningsark!V113</f>
        <v>687.84225197203875</v>
      </c>
      <c r="G106" s="8">
        <f t="shared" si="1"/>
        <v>76.45990970114795</v>
      </c>
      <c r="H106" s="8">
        <f>beregningsark!T113</f>
        <v>2.7161180964449803</v>
      </c>
      <c r="I106" s="55">
        <f>beregningsark!X113</f>
        <v>2.0992439047107214</v>
      </c>
    </row>
    <row r="107" spans="1:9" x14ac:dyDescent="0.25">
      <c r="A107" s="7">
        <v>103</v>
      </c>
      <c r="B107" s="8">
        <f>beregningsark!B114</f>
        <v>77.503973287231219</v>
      </c>
      <c r="C107" s="8">
        <f>beregningsark!N114</f>
        <v>6</v>
      </c>
      <c r="D107" s="8">
        <f>beregningsark!C114</f>
        <v>1.03</v>
      </c>
      <c r="E107" s="9">
        <f>beregningsark!U114*1000</f>
        <v>1047.7014438750412</v>
      </c>
      <c r="F107" s="9">
        <f>beregningsark!V114</f>
        <v>691.30071152651669</v>
      </c>
      <c r="G107" s="8">
        <f t="shared" si="1"/>
        <v>77.503973287231219</v>
      </c>
      <c r="H107" s="8">
        <f>beregningsark!T114</f>
        <v>2.7271605061763986</v>
      </c>
      <c r="I107" s="55">
        <f>beregningsark!X114</f>
        <v>2.1082891286083574</v>
      </c>
    </row>
    <row r="108" spans="1:9" x14ac:dyDescent="0.25">
      <c r="A108" s="7">
        <v>104</v>
      </c>
      <c r="B108" s="8">
        <f>beregningsark!B115</f>
        <v>78.55167473110626</v>
      </c>
      <c r="C108" s="8">
        <f>beregningsark!N115</f>
        <v>6</v>
      </c>
      <c r="D108" s="8">
        <f>beregningsark!C115</f>
        <v>1.03</v>
      </c>
      <c r="E108" s="9">
        <f>beregningsark!U115*1000</f>
        <v>1051.2855263958854</v>
      </c>
      <c r="F108" s="9">
        <f>beregningsark!V115</f>
        <v>694.72764164525256</v>
      </c>
      <c r="G108" s="8">
        <f t="shared" si="1"/>
        <v>78.55167473110626</v>
      </c>
      <c r="H108" s="8">
        <f>beregningsark!T115</f>
        <v>2.7382665581528816</v>
      </c>
      <c r="I108" s="55">
        <f>beregningsark!X115</f>
        <v>2.1172632103616738</v>
      </c>
    </row>
    <row r="109" spans="1:9" x14ac:dyDescent="0.25">
      <c r="A109" s="13">
        <v>105</v>
      </c>
      <c r="B109" s="56">
        <f>beregningsark!B116</f>
        <v>79.602960257502147</v>
      </c>
      <c r="C109" s="8">
        <f>beregningsark!N116</f>
        <v>6</v>
      </c>
      <c r="D109" s="8">
        <f>beregningsark!C116</f>
        <v>1.03</v>
      </c>
      <c r="E109" s="63">
        <f>beregningsark!U116*1000</f>
        <v>1054.7619373863402</v>
      </c>
      <c r="F109" s="63">
        <f>beregningsark!V116</f>
        <v>698.12343102382999</v>
      </c>
      <c r="G109" s="56">
        <f t="shared" si="1"/>
        <v>79.602960257502147</v>
      </c>
      <c r="H109" s="56">
        <f>beregningsark!T116</f>
        <v>2.7494355808724849</v>
      </c>
      <c r="I109" s="57">
        <f>beregningsark!X116</f>
        <v>2.1261694240955107</v>
      </c>
    </row>
    <row r="110" spans="1:9" x14ac:dyDescent="0.25">
      <c r="A110" s="7">
        <v>106</v>
      </c>
      <c r="B110" s="8">
        <f>beregningsark!B117</f>
        <v>80.657722194888493</v>
      </c>
      <c r="C110" s="8">
        <f>beregningsark!N117</f>
        <v>6</v>
      </c>
      <c r="D110" s="8">
        <f>beregningsark!C117</f>
        <v>1.03</v>
      </c>
      <c r="E110" s="9">
        <f>beregningsark!U117*1000</f>
        <v>1055.6509343645212</v>
      </c>
      <c r="F110" s="9">
        <f>beregningsark!V117</f>
        <v>701.48794523479705</v>
      </c>
      <c r="G110" s="8">
        <f t="shared" si="1"/>
        <v>80.657722194888493</v>
      </c>
      <c r="H110" s="8">
        <f>beregningsark!T117</f>
        <v>2.7606663387783055</v>
      </c>
      <c r="I110" s="55">
        <f>beregningsark!X117</f>
        <v>2.1350104348153711</v>
      </c>
    </row>
    <row r="111" spans="1:9" x14ac:dyDescent="0.25">
      <c r="A111" s="7">
        <v>107</v>
      </c>
      <c r="B111" s="8">
        <f>beregningsark!B118</f>
        <v>81.713373129253014</v>
      </c>
      <c r="C111" s="8">
        <f>beregningsark!N118</f>
        <v>6</v>
      </c>
      <c r="D111" s="8">
        <f>beregningsark!C118</f>
        <v>1.03</v>
      </c>
      <c r="E111" s="9">
        <f>beregningsark!U118*1000</f>
        <v>1056.5197494552444</v>
      </c>
      <c r="F111" s="9">
        <f>beregningsark!V118</f>
        <v>704.79787971264511</v>
      </c>
      <c r="G111" s="8">
        <f t="shared" si="1"/>
        <v>81.713373129253014</v>
      </c>
      <c r="H111" s="8">
        <f>beregningsark!T118</f>
        <v>2.7719311461144236</v>
      </c>
      <c r="I111" s="55">
        <f>beregningsark!X118</f>
        <v>2.1437684867656155</v>
      </c>
    </row>
    <row r="112" spans="1:9" x14ac:dyDescent="0.25">
      <c r="A112" s="7">
        <v>108</v>
      </c>
      <c r="B112" s="8">
        <f>beregningsark!B119</f>
        <v>82.769892878708262</v>
      </c>
      <c r="C112" s="8">
        <f>beregningsark!N119</f>
        <v>6</v>
      </c>
      <c r="D112" s="8">
        <f>beregningsark!C119</f>
        <v>1.03</v>
      </c>
      <c r="E112" s="9">
        <f>beregningsark!U119*1000</f>
        <v>1057.3687172224184</v>
      </c>
      <c r="F112" s="9">
        <f>beregningsark!V119</f>
        <v>708.05456369174328</v>
      </c>
      <c r="G112" s="8">
        <f t="shared" si="1"/>
        <v>82.769892878708262</v>
      </c>
      <c r="H112" s="8">
        <f>beregningsark!T119</f>
        <v>2.7832296833318915</v>
      </c>
      <c r="I112" s="55">
        <f>beregningsark!X119</f>
        <v>2.1524472782545088</v>
      </c>
    </row>
    <row r="113" spans="1:9" x14ac:dyDescent="0.25">
      <c r="A113" s="7">
        <v>109</v>
      </c>
      <c r="B113" s="8">
        <f>beregningsark!B120</f>
        <v>83.827261595930679</v>
      </c>
      <c r="C113" s="8">
        <f>beregningsark!N120</f>
        <v>6</v>
      </c>
      <c r="D113" s="8">
        <f>beregningsark!C120</f>
        <v>1.03</v>
      </c>
      <c r="E113" s="9">
        <f>beregningsark!U120*1000</f>
        <v>1058.1981646765739</v>
      </c>
      <c r="F113" s="9">
        <f>beregningsark!V120</f>
        <v>711.25928069661165</v>
      </c>
      <c r="G113" s="8">
        <f t="shared" si="1"/>
        <v>83.827261595930679</v>
      </c>
      <c r="H113" s="8">
        <f>beregningsark!T120</f>
        <v>2.7945616413952425</v>
      </c>
      <c r="I113" s="55">
        <f>beregningsark!X120</f>
        <v>2.1610503111589776</v>
      </c>
    </row>
    <row r="114" spans="1:9" x14ac:dyDescent="0.25">
      <c r="A114" s="7">
        <v>110</v>
      </c>
      <c r="B114" s="8">
        <f>beregningsark!B121</f>
        <v>84.885459760607247</v>
      </c>
      <c r="C114" s="8">
        <f>beregningsark!N121</f>
        <v>6</v>
      </c>
      <c r="D114" s="8">
        <f>beregningsark!C121</f>
        <v>1.03</v>
      </c>
      <c r="E114" s="9">
        <f>beregningsark!U121*1000</f>
        <v>1059.0084115157401</v>
      </c>
      <c r="F114" s="9">
        <f>beregningsark!V121</f>
        <v>714.41327055097508</v>
      </c>
      <c r="G114" s="8">
        <f t="shared" si="1"/>
        <v>84.885459760607247</v>
      </c>
      <c r="H114" s="8">
        <f>beregningsark!T121</f>
        <v>2.8059267213439263</v>
      </c>
      <c r="I114" s="55">
        <f>beregningsark!X121</f>
        <v>2.1695809035739106</v>
      </c>
    </row>
    <row r="115" spans="1:9" x14ac:dyDescent="0.25">
      <c r="A115" s="7">
        <v>111</v>
      </c>
      <c r="B115" s="8">
        <f>beregningsark!B122</f>
        <v>85.944468172122981</v>
      </c>
      <c r="C115" s="8">
        <f>beregningsark!N122</f>
        <v>6</v>
      </c>
      <c r="D115" s="8">
        <f>beregningsark!C122</f>
        <v>1.03</v>
      </c>
      <c r="E115" s="9">
        <f>beregningsark!U122*1000</f>
        <v>1059.7997703558215</v>
      </c>
      <c r="F115" s="9">
        <f>beregningsark!V122</f>
        <v>717.51773128038724</v>
      </c>
      <c r="G115" s="8">
        <f t="shared" si="1"/>
        <v>85.944468172122981</v>
      </c>
      <c r="H115" s="8">
        <f>beregningsark!T122</f>
        <v>2.8173246338763924</v>
      </c>
      <c r="I115" s="55">
        <f>beregningsark!X122</f>
        <v>2.178042201503541</v>
      </c>
    </row>
    <row r="116" spans="1:9" x14ac:dyDescent="0.25">
      <c r="A116" s="13">
        <v>112</v>
      </c>
      <c r="B116" s="56">
        <f>beregningsark!B123</f>
        <v>87.004267942478805</v>
      </c>
      <c r="C116" s="8">
        <f>beregningsark!N123</f>
        <v>6</v>
      </c>
      <c r="D116" s="8">
        <f>beregningsark!C123</f>
        <v>1.03</v>
      </c>
      <c r="E116" s="63">
        <f>beregningsark!U123*1000</f>
        <v>1060.5371957112138</v>
      </c>
      <c r="F116" s="63">
        <f>beregningsark!V123</f>
        <v>720.57382091498937</v>
      </c>
      <c r="G116" s="56">
        <f t="shared" si="1"/>
        <v>87.004267942478805</v>
      </c>
      <c r="H116" s="56">
        <f>beregningsark!T123</f>
        <v>2.8287550989554404</v>
      </c>
      <c r="I116" s="57">
        <f>beregningsark!X123</f>
        <v>2.1864371896781956</v>
      </c>
    </row>
    <row r="117" spans="1:9" x14ac:dyDescent="0.25">
      <c r="A117" s="7">
        <v>113</v>
      </c>
      <c r="B117" s="8">
        <f>beregningsark!B124</f>
        <v>88.064805138190025</v>
      </c>
      <c r="C117" s="8">
        <f>beregningsark!N124</f>
        <v>6</v>
      </c>
      <c r="D117" s="8">
        <f>beregningsark!C124</f>
        <v>1.03</v>
      </c>
      <c r="E117" s="9">
        <f>beregningsark!U124*1000</f>
        <v>1061.2919725028364</v>
      </c>
      <c r="F117" s="9">
        <f>beregningsark!V124</f>
        <v>723.58234635566396</v>
      </c>
      <c r="G117" s="8">
        <f t="shared" si="1"/>
        <v>88.064805138190025</v>
      </c>
      <c r="H117" s="8">
        <f>beregningsark!T124</f>
        <v>2.8402174689886706</v>
      </c>
      <c r="I117" s="55">
        <f>beregningsark!X124</f>
        <v>2.1947684274657582</v>
      </c>
    </row>
    <row r="118" spans="1:9" x14ac:dyDescent="0.25">
      <c r="A118" s="7">
        <v>114</v>
      </c>
      <c r="B118" s="8">
        <f>beregningsark!B125</f>
        <v>89.126097110692868</v>
      </c>
      <c r="C118" s="8">
        <f>beregningsark!N125</f>
        <v>6</v>
      </c>
      <c r="D118" s="8">
        <f>beregningsark!C125</f>
        <v>1.03</v>
      </c>
      <c r="E118" s="9">
        <f>beregningsark!U125*1000</f>
        <v>1062.028756273729</v>
      </c>
      <c r="F118" s="9">
        <f>beregningsark!V125</f>
        <v>726.54471149730591</v>
      </c>
      <c r="G118" s="8">
        <f t="shared" si="1"/>
        <v>89.126097110692868</v>
      </c>
      <c r="H118" s="8">
        <f>beregningsark!T125</f>
        <v>2.8517118600688849</v>
      </c>
      <c r="I118" s="55">
        <f>beregningsark!X125</f>
        <v>2.2030388870228759</v>
      </c>
    </row>
    <row r="119" spans="1:9" x14ac:dyDescent="0.25">
      <c r="A119" s="7">
        <v>115</v>
      </c>
      <c r="B119" s="8">
        <f>beregningsark!B126</f>
        <v>90.188125866966601</v>
      </c>
      <c r="C119" s="8">
        <f>beregningsark!N126</f>
        <v>6</v>
      </c>
      <c r="D119" s="8">
        <f>beregningsark!C126</f>
        <v>1.03</v>
      </c>
      <c r="E119" s="9">
        <f>beregningsark!U126*1000</f>
        <v>1062.7478334483203</v>
      </c>
      <c r="F119" s="9">
        <f>beregningsark!V126</f>
        <v>729.46196406057913</v>
      </c>
      <c r="G119" s="8">
        <f t="shared" si="1"/>
        <v>90.188125866966601</v>
      </c>
      <c r="H119" s="8">
        <f>beregningsark!T126</f>
        <v>2.8632380177399548</v>
      </c>
      <c r="I119" s="55">
        <f>beregningsark!X126</f>
        <v>2.2112511261648606</v>
      </c>
    </row>
    <row r="120" spans="1:9" x14ac:dyDescent="0.25">
      <c r="A120" s="7">
        <v>116</v>
      </c>
      <c r="B120" s="8">
        <f>beregningsark!B127</f>
        <v>91.250873700414928</v>
      </c>
      <c r="C120" s="8">
        <f>beregningsark!N127</f>
        <v>6</v>
      </c>
      <c r="D120" s="8">
        <f>beregningsark!C127</f>
        <v>1.03</v>
      </c>
      <c r="E120" s="9">
        <f>beregningsark!U127*1000</f>
        <v>1063.4494843823929</v>
      </c>
      <c r="F120" s="9">
        <f>beregningsark!V127</f>
        <v>732.33511810702521</v>
      </c>
      <c r="G120" s="8">
        <f t="shared" si="1"/>
        <v>91.250873700414928</v>
      </c>
      <c r="H120" s="8">
        <f>beregningsark!T127</f>
        <v>2.8747956954208256</v>
      </c>
      <c r="I120" s="55">
        <f>beregningsark!X127</f>
        <v>2.2194075773733752</v>
      </c>
    </row>
    <row r="121" spans="1:9" x14ac:dyDescent="0.25">
      <c r="A121" s="7">
        <v>117</v>
      </c>
      <c r="B121" s="8">
        <f>beregningsark!B128</f>
        <v>92.314323184797317</v>
      </c>
      <c r="C121" s="8">
        <f>beregningsark!N128</f>
        <v>6</v>
      </c>
      <c r="D121" s="8">
        <f>beregningsark!C128</f>
        <v>1.03</v>
      </c>
      <c r="E121" s="9">
        <f>beregningsark!U128*1000</f>
        <v>1064.1339835414585</v>
      </c>
      <c r="F121" s="9">
        <f>beregningsark!V128</f>
        <v>735.16515542561808</v>
      </c>
      <c r="G121" s="8">
        <f t="shared" si="1"/>
        <v>92.314323184797317</v>
      </c>
      <c r="H121" s="8">
        <f>beregningsark!T128</f>
        <v>2.8863846540996545</v>
      </c>
      <c r="I121" s="55">
        <f>beregningsark!X128</f>
        <v>2.2275105552310337</v>
      </c>
    </row>
    <row r="122" spans="1:9" x14ac:dyDescent="0.25">
      <c r="A122" s="7">
        <v>118</v>
      </c>
      <c r="B122" s="8">
        <f>beregningsark!B129</f>
        <v>93.37845716833877</v>
      </c>
      <c r="C122" s="8">
        <f>beregningsark!N129</f>
        <v>6</v>
      </c>
      <c r="D122" s="8">
        <f>beregningsark!C129</f>
        <v>1.03</v>
      </c>
      <c r="E122" s="9">
        <f>beregningsark!U129*1000</f>
        <v>1064.801599671986</v>
      </c>
      <c r="F122" s="9">
        <f>beregningsark!V129</f>
        <v>737.95302685032857</v>
      </c>
      <c r="G122" s="8">
        <f t="shared" si="1"/>
        <v>93.37845716833877</v>
      </c>
      <c r="H122" s="8">
        <f>beregningsark!T129</f>
        <v>2.8980046620427564</v>
      </c>
      <c r="I122" s="55">
        <f>beregningsark!X129</f>
        <v>2.2355622633375054</v>
      </c>
    </row>
    <row r="123" spans="1:9" x14ac:dyDescent="0.25">
      <c r="A123" s="13">
        <v>119</v>
      </c>
      <c r="B123" s="56">
        <f>beregningsark!B130</f>
        <v>94.44325876801075</v>
      </c>
      <c r="C123" s="8">
        <f>beregningsark!N130</f>
        <v>6</v>
      </c>
      <c r="D123" s="8">
        <f>beregningsark!C130</f>
        <v>1.03</v>
      </c>
      <c r="E123" s="63">
        <f>beregningsark!U130*1000</f>
        <v>1065.4182276359479</v>
      </c>
      <c r="F123" s="63">
        <f>beregningsark!V130</f>
        <v>740.69965351269536</v>
      </c>
      <c r="G123" s="56">
        <f t="shared" si="1"/>
        <v>94.44325876801075</v>
      </c>
      <c r="H123" s="56">
        <f>beregningsark!T130</f>
        <v>2.90965549451747</v>
      </c>
      <c r="I123" s="57">
        <f>beregningsark!X130</f>
        <v>2.2435648007486582</v>
      </c>
    </row>
    <row r="124" spans="1:9" x14ac:dyDescent="0.25">
      <c r="A124" s="7">
        <v>120</v>
      </c>
      <c r="B124" s="8">
        <f>beregningsark!B131</f>
        <v>95.508676995646695</v>
      </c>
      <c r="C124" s="8">
        <f>beregningsark!N131</f>
        <v>6</v>
      </c>
      <c r="D124" s="8">
        <f>beregningsark!C131</f>
        <v>1.03</v>
      </c>
      <c r="E124" s="9">
        <f>beregningsark!U131*1000</f>
        <v>1066.0531326701607</v>
      </c>
      <c r="F124" s="9">
        <f>beregningsark!V131</f>
        <v>743.40564163038914</v>
      </c>
      <c r="G124" s="8">
        <f t="shared" si="1"/>
        <v>95.508676995646695</v>
      </c>
      <c r="H124" s="8">
        <f>beregningsark!T131</f>
        <v>2.9213365680935262</v>
      </c>
      <c r="I124" s="55">
        <f>beregningsark!X131</f>
        <v>2.2515199144248155</v>
      </c>
    </row>
    <row r="125" spans="1:9" x14ac:dyDescent="0.25">
      <c r="A125" s="7">
        <v>121</v>
      </c>
      <c r="B125" s="8">
        <f>beregningsark!B132</f>
        <v>96.574730128316858</v>
      </c>
      <c r="C125" s="8">
        <f>beregningsark!N132</f>
        <v>6</v>
      </c>
      <c r="D125" s="8">
        <f>beregningsark!C132</f>
        <v>1.03</v>
      </c>
      <c r="E125" s="9">
        <f>beregningsark!U132*1000</f>
        <v>1066.6719258094884</v>
      </c>
      <c r="F125" s="9">
        <f>beregningsark!V132</f>
        <v>746.07214982080052</v>
      </c>
      <c r="G125" s="8">
        <f t="shared" si="1"/>
        <v>96.574730128316858</v>
      </c>
      <c r="H125" s="8">
        <f>beregningsark!T132</f>
        <v>2.9330480387638698</v>
      </c>
      <c r="I125" s="55">
        <f>beregningsark!X132</f>
        <v>2.2594297707150885</v>
      </c>
    </row>
    <row r="126" spans="1:9" x14ac:dyDescent="0.25">
      <c r="A126" s="7">
        <v>122</v>
      </c>
      <c r="B126" s="8">
        <f>beregningsark!B133</f>
        <v>97.641402054126345</v>
      </c>
      <c r="C126" s="8">
        <f>beregningsark!N133</f>
        <v>6</v>
      </c>
      <c r="D126" s="8">
        <f>beregningsark!C133</f>
        <v>1.03</v>
      </c>
      <c r="E126" s="9">
        <f>beregningsark!U133*1000</f>
        <v>1067.2748545291752</v>
      </c>
      <c r="F126" s="9">
        <f>beregningsark!V133</f>
        <v>748.7000168371012</v>
      </c>
      <c r="G126" s="8">
        <f t="shared" si="1"/>
        <v>97.641402054126345</v>
      </c>
      <c r="H126" s="8">
        <f>beregningsark!T133</f>
        <v>2.9447897012306918</v>
      </c>
      <c r="I126" s="55">
        <f>beregningsark!X133</f>
        <v>2.2672961892184333</v>
      </c>
    </row>
    <row r="127" spans="1:9" x14ac:dyDescent="0.25">
      <c r="A127" s="7">
        <v>123</v>
      </c>
      <c r="B127" s="8">
        <f>beregningsark!B134</f>
        <v>98.708676908655519</v>
      </c>
      <c r="C127" s="8">
        <f>beregningsark!N134</f>
        <v>6</v>
      </c>
      <c r="D127" s="8">
        <f>beregningsark!C134</f>
        <v>1.03</v>
      </c>
      <c r="E127" s="9">
        <f>beregningsark!U134*1000</f>
        <v>1067.8621613464888</v>
      </c>
      <c r="F127" s="9">
        <f>beregningsark!V134</f>
        <v>751.29005616793108</v>
      </c>
      <c r="G127" s="8">
        <f t="shared" si="1"/>
        <v>98.708676908655519</v>
      </c>
      <c r="H127" s="8">
        <f>beregningsark!T134</f>
        <v>2.9565613562138231</v>
      </c>
      <c r="I127" s="55">
        <f>beregningsark!X134</f>
        <v>2.2751209066980711</v>
      </c>
    </row>
    <row r="128" spans="1:9" x14ac:dyDescent="0.25">
      <c r="A128" s="7">
        <v>124</v>
      </c>
      <c r="B128" s="8">
        <f>beregningsark!B135</f>
        <v>99.776539070002002</v>
      </c>
      <c r="C128" s="8">
        <f>beregningsark!N135</f>
        <v>6</v>
      </c>
      <c r="D128" s="8">
        <f>beregningsark!C135</f>
        <v>1.03</v>
      </c>
      <c r="E128" s="9">
        <f>beregningsark!U135*1000</f>
        <v>1068.4340839560882</v>
      </c>
      <c r="F128" s="9">
        <f>beregningsark!V135</f>
        <v>753.84305701614517</v>
      </c>
      <c r="G128" s="8">
        <f t="shared" si="1"/>
        <v>99.776539070002002</v>
      </c>
      <c r="H128" s="8">
        <f>beregningsark!T135</f>
        <v>2.9683628102324242</v>
      </c>
      <c r="I128" s="55">
        <f>beregningsark!X135</f>
        <v>2.2829055816388482</v>
      </c>
    </row>
    <row r="129" spans="1:9" x14ac:dyDescent="0.25">
      <c r="A129" s="7">
        <v>125</v>
      </c>
      <c r="B129" s="8">
        <f>beregningsark!B136</f>
        <v>100.84497315395809</v>
      </c>
      <c r="C129" s="8">
        <f>beregningsark!N136</f>
        <v>6</v>
      </c>
      <c r="D129" s="8">
        <f>beregningsark!C136</f>
        <v>1.03</v>
      </c>
      <c r="E129" s="9">
        <f>beregningsark!U136*1000</f>
        <v>1068.99085536039</v>
      </c>
      <c r="F129" s="9">
        <f>beregningsark!V136</f>
        <v>756.35978523166477</v>
      </c>
      <c r="G129" s="8">
        <f t="shared" si="1"/>
        <v>100.84497315395809</v>
      </c>
      <c r="H129" s="8">
        <f>beregningsark!T136</f>
        <v>2.9801938753965938</v>
      </c>
      <c r="I129" s="55">
        <f>beregningsark!X136</f>
        <v>2.2906517985099542</v>
      </c>
    </row>
    <row r="130" spans="1:9" x14ac:dyDescent="0.25">
      <c r="A130" s="13">
        <v>126</v>
      </c>
      <c r="B130" s="56">
        <f>beregningsark!B137</f>
        <v>101.91396400931848</v>
      </c>
      <c r="C130" s="8">
        <f>beregningsark!N137</f>
        <v>6</v>
      </c>
      <c r="D130" s="8">
        <f>beregningsark!C137</f>
        <v>1.03</v>
      </c>
      <c r="E130" s="63">
        <f>beregningsark!U137*1000</f>
        <v>1069.4992821426172</v>
      </c>
      <c r="F130" s="63">
        <f>beregningsark!V137</f>
        <v>758.84098420094028</v>
      </c>
      <c r="G130" s="56">
        <f t="shared" si="1"/>
        <v>101.91396400931848</v>
      </c>
      <c r="H130" s="56">
        <f>beregningsark!T137</f>
        <v>2.9920543692083394</v>
      </c>
      <c r="I130" s="57">
        <f>beregningsark!X137</f>
        <v>2.298361071754877</v>
      </c>
    </row>
    <row r="131" spans="1:9" x14ac:dyDescent="0.25">
      <c r="A131" s="7">
        <v>127</v>
      </c>
      <c r="B131" s="8">
        <f>beregningsark!B138</f>
        <v>102.98346329146109</v>
      </c>
      <c r="C131" s="8">
        <f>beregningsark!N138</f>
        <v>6</v>
      </c>
      <c r="D131" s="8">
        <f>beregningsark!C138</f>
        <v>1.03</v>
      </c>
      <c r="E131" s="9">
        <f>beregningsark!U138*1000</f>
        <v>1074.7870994856523</v>
      </c>
      <c r="F131" s="9">
        <f>beregningsark!V138</f>
        <v>761.28711253118979</v>
      </c>
      <c r="G131" s="8">
        <f t="shared" si="1"/>
        <v>102.98346329146109</v>
      </c>
      <c r="H131" s="8">
        <f>beregningsark!T138</f>
        <v>3.00394375922922</v>
      </c>
      <c r="I131" s="55">
        <f>beregningsark!X138</f>
        <v>2.3060346123831961</v>
      </c>
    </row>
    <row r="132" spans="1:9" x14ac:dyDescent="0.25">
      <c r="A132" s="7">
        <v>128</v>
      </c>
      <c r="B132" s="8">
        <f>beregningsark!B139</f>
        <v>104.05825039094674</v>
      </c>
      <c r="C132" s="8">
        <f>beregningsark!N139</f>
        <v>6</v>
      </c>
      <c r="D132" s="8">
        <f>beregningsark!C139</f>
        <v>1.03</v>
      </c>
      <c r="E132" s="9">
        <f>beregningsark!U139*1000</f>
        <v>1080.0046957514858</v>
      </c>
      <c r="F132" s="9">
        <f>beregningsark!V139</f>
        <v>763.73633117927147</v>
      </c>
      <c r="G132" s="8">
        <f t="shared" si="1"/>
        <v>104.05825039094674</v>
      </c>
      <c r="H132" s="8">
        <f>beregningsark!T139</f>
        <v>3.0159128129841921</v>
      </c>
      <c r="I132" s="55">
        <f>beregningsark!X139</f>
        <v>2.3137076603831694</v>
      </c>
    </row>
    <row r="133" spans="1:9" x14ac:dyDescent="0.25">
      <c r="A133" s="7">
        <v>129</v>
      </c>
      <c r="B133" s="8">
        <f>beregningsark!B140</f>
        <v>105.13825508669822</v>
      </c>
      <c r="C133" s="8">
        <f>beregningsark!N140</f>
        <v>6</v>
      </c>
      <c r="D133" s="8">
        <f>beregningsark!C140</f>
        <v>1.03</v>
      </c>
      <c r="E133" s="9">
        <f>beregningsark!U140*1000</f>
        <v>1085.1527205611051</v>
      </c>
      <c r="F133" s="9">
        <f>beregningsark!V140</f>
        <v>766.18802392789325</v>
      </c>
      <c r="G133" s="8">
        <f t="shared" ref="G133:G156" si="2">B133</f>
        <v>105.13825508669822</v>
      </c>
      <c r="H133" s="8">
        <f>beregningsark!T140</f>
        <v>3.0279608922705328</v>
      </c>
      <c r="I133" s="55">
        <f>beregningsark!X140</f>
        <v>2.3213806495666063</v>
      </c>
    </row>
    <row r="134" spans="1:9" x14ac:dyDescent="0.25">
      <c r="A134" s="7">
        <v>130</v>
      </c>
      <c r="B134" s="8">
        <f>beregningsark!B141</f>
        <v>106.22340780725933</v>
      </c>
      <c r="C134" s="8">
        <f>beregningsark!N141</f>
        <v>6</v>
      </c>
      <c r="D134" s="8">
        <f>beregningsark!C141</f>
        <v>1.03</v>
      </c>
      <c r="E134" s="9">
        <f>beregningsark!U141*1000</f>
        <v>1090.2318244401727</v>
      </c>
      <c r="F134" s="9">
        <f>beregningsark!V141</f>
        <v>768.64159851737952</v>
      </c>
      <c r="G134" s="8">
        <f t="shared" si="2"/>
        <v>106.22340780725933</v>
      </c>
      <c r="H134" s="8">
        <f>beregningsark!T141</f>
        <v>3.040087370135176</v>
      </c>
      <c r="I134" s="55">
        <f>beregningsark!X141</f>
        <v>2.3290540014817434</v>
      </c>
    </row>
    <row r="135" spans="1:9" x14ac:dyDescent="0.25">
      <c r="A135" s="7">
        <v>131</v>
      </c>
      <c r="B135" s="8">
        <f>beregningsark!B142</f>
        <v>107.3136396316995</v>
      </c>
      <c r="C135" s="8">
        <f>beregningsark!N142</f>
        <v>6</v>
      </c>
      <c r="D135" s="8">
        <f>beregningsark!C142</f>
        <v>1.03</v>
      </c>
      <c r="E135" s="9">
        <f>beregningsark!U142*1000</f>
        <v>1095.2426584732834</v>
      </c>
      <c r="F135" s="9">
        <f>beregningsark!V142</f>
        <v>771.09648573816412</v>
      </c>
      <c r="G135" s="8">
        <f t="shared" si="2"/>
        <v>107.3136396316995</v>
      </c>
      <c r="H135" s="8">
        <f>beregningsark!T142</f>
        <v>3.052291630660172</v>
      </c>
      <c r="I135" s="55">
        <f>beregningsark!X142</f>
        <v>2.3367281255858869</v>
      </c>
    </row>
    <row r="136" spans="1:9" x14ac:dyDescent="0.25">
      <c r="A136" s="7">
        <v>132</v>
      </c>
      <c r="B136" s="8">
        <f>beregningsark!B143</f>
        <v>108.40888229017278</v>
      </c>
      <c r="C136" s="8">
        <f>beregningsark!N143</f>
        <v>6</v>
      </c>
      <c r="D136" s="8">
        <f>beregningsark!C143</f>
        <v>1.03</v>
      </c>
      <c r="E136" s="9">
        <f>beregningsark!U143*1000</f>
        <v>1100.1858739726249</v>
      </c>
      <c r="F136" s="9">
        <f>beregningsark!V143</f>
        <v>773.55213856191506</v>
      </c>
      <c r="G136" s="8">
        <f t="shared" si="2"/>
        <v>108.40888229017278</v>
      </c>
      <c r="H136" s="8">
        <f>beregningsark!T143</f>
        <v>3.0645730687539197</v>
      </c>
      <c r="I136" s="55">
        <f>beregningsark!X143</f>
        <v>2.3444034194293435</v>
      </c>
    </row>
    <row r="137" spans="1:9" x14ac:dyDescent="0.25">
      <c r="A137" s="13">
        <v>133</v>
      </c>
      <c r="B137" s="56">
        <f>beregningsark!B144</f>
        <v>109.5090681641454</v>
      </c>
      <c r="C137" s="8">
        <f>beregningsark!N144</f>
        <v>4</v>
      </c>
      <c r="D137" s="8">
        <f>beregningsark!C144</f>
        <v>1.02</v>
      </c>
      <c r="E137" s="63">
        <f>beregningsark!U144*1000</f>
        <v>856.05469180127375</v>
      </c>
      <c r="F137" s="63">
        <f>beregningsark!V144</f>
        <v>776.0080313093639</v>
      </c>
      <c r="G137" s="56">
        <f t="shared" si="2"/>
        <v>109.5090681641454</v>
      </c>
      <c r="H137" s="56">
        <f>beregningsark!T144</f>
        <v>3.9717088552436581</v>
      </c>
      <c r="I137" s="57">
        <f>beregningsark!X144</f>
        <v>2.3520802688491118</v>
      </c>
    </row>
    <row r="138" spans="1:9" x14ac:dyDescent="0.25">
      <c r="A138" s="7">
        <v>134</v>
      </c>
      <c r="B138" s="8">
        <f>beregningsark!B145</f>
        <v>110.36512285594668</v>
      </c>
      <c r="C138" s="8">
        <f>beregningsark!N145</f>
        <v>4</v>
      </c>
      <c r="D138" s="8">
        <f>beregningsark!C145</f>
        <v>1.02</v>
      </c>
      <c r="E138" s="9">
        <f>beregningsark!U145*1000</f>
        <v>855.84357505902483</v>
      </c>
      <c r="F138" s="9">
        <f>beregningsark!V145</f>
        <v>776.60539444736332</v>
      </c>
      <c r="G138" s="8">
        <f t="shared" si="2"/>
        <v>110.36512285594668</v>
      </c>
      <c r="H138" s="8">
        <f>beregningsark!T145</f>
        <v>3.97268858361823</v>
      </c>
      <c r="I138" s="55">
        <f>beregningsark!X145</f>
        <v>2.3654035669177431</v>
      </c>
    </row>
    <row r="139" spans="1:9" x14ac:dyDescent="0.25">
      <c r="A139" s="7">
        <v>135</v>
      </c>
      <c r="B139" s="8">
        <f>beregningsark!B146</f>
        <v>111.22096643100571</v>
      </c>
      <c r="C139" s="8">
        <f>beregningsark!N146</f>
        <v>4</v>
      </c>
      <c r="D139" s="8">
        <f>beregningsark!C146</f>
        <v>1.02</v>
      </c>
      <c r="E139" s="9">
        <f>beregningsark!U146*1000</f>
        <v>855.63326773202868</v>
      </c>
      <c r="F139" s="9">
        <f>beregningsark!V146</f>
        <v>777.1923439333757</v>
      </c>
      <c r="G139" s="8">
        <f t="shared" si="2"/>
        <v>111.22096643100571</v>
      </c>
      <c r="H139" s="8">
        <f>beregningsark!T146</f>
        <v>3.9736650364380508</v>
      </c>
      <c r="I139" s="55">
        <f>beregningsark!X146</f>
        <v>2.3785142406145616</v>
      </c>
    </row>
    <row r="140" spans="1:9" x14ac:dyDescent="0.25">
      <c r="A140" s="7">
        <v>136</v>
      </c>
      <c r="B140" s="8">
        <f>beregningsark!B147</f>
        <v>112.07659969873774</v>
      </c>
      <c r="C140" s="8">
        <f>beregningsark!N147</f>
        <v>4</v>
      </c>
      <c r="D140" s="8">
        <f>beregningsark!C147</f>
        <v>1.02</v>
      </c>
      <c r="E140" s="9">
        <f>beregningsark!U147*1000</f>
        <v>855.42376100253568</v>
      </c>
      <c r="F140" s="9">
        <f>beregningsark!V147</f>
        <v>777.76911543189522</v>
      </c>
      <c r="G140" s="8">
        <f t="shared" si="2"/>
        <v>112.07659969873774</v>
      </c>
      <c r="H140" s="8">
        <f>beregningsark!T147</f>
        <v>3.9746382494861763</v>
      </c>
      <c r="I140" s="55">
        <f>beregningsark!X147</f>
        <v>2.3914175112041161</v>
      </c>
    </row>
    <row r="141" spans="1:9" x14ac:dyDescent="0.25">
      <c r="A141" s="7">
        <v>137</v>
      </c>
      <c r="B141" s="8">
        <f>beregningsark!B148</f>
        <v>112.93202345974028</v>
      </c>
      <c r="C141" s="8">
        <f>beregningsark!N148</f>
        <v>4</v>
      </c>
      <c r="D141" s="8">
        <f>beregningsark!C148</f>
        <v>1.02</v>
      </c>
      <c r="E141" s="9">
        <f>beregningsark!U148*1000</f>
        <v>855.21504621626559</v>
      </c>
      <c r="F141" s="9">
        <f>beregningsark!V148</f>
        <v>778.33593766233776</v>
      </c>
      <c r="G141" s="8">
        <f t="shared" si="2"/>
        <v>112.93202345974028</v>
      </c>
      <c r="H141" s="8">
        <f>beregningsark!T148</f>
        <v>3.9756082578792853</v>
      </c>
      <c r="I141" s="55">
        <f>beregningsark!X148</f>
        <v>2.4041184296946083</v>
      </c>
    </row>
    <row r="142" spans="1:9" x14ac:dyDescent="0.25">
      <c r="A142" s="7">
        <v>138</v>
      </c>
      <c r="B142" s="8">
        <f>beregningsark!B149</f>
        <v>113.78723850595654</v>
      </c>
      <c r="C142" s="8">
        <f>beregningsark!N149</f>
        <v>4</v>
      </c>
      <c r="D142" s="8">
        <f>beregningsark!C149</f>
        <v>1.02</v>
      </c>
      <c r="E142" s="9">
        <f>beregningsark!U149*1000</f>
        <v>855.0071148781351</v>
      </c>
      <c r="F142" s="9">
        <f>beregningsark!V149</f>
        <v>778.8930326518589</v>
      </c>
      <c r="G142" s="8">
        <f t="shared" si="2"/>
        <v>113.78723850595654</v>
      </c>
      <c r="H142" s="8">
        <f>beregningsark!T149</f>
        <v>3.976575096085142</v>
      </c>
      <c r="I142" s="55">
        <f>beregningsark!X149</f>
        <v>2.4166218837298969</v>
      </c>
    </row>
    <row r="143" spans="1:9" x14ac:dyDescent="0.25">
      <c r="A143" s="7">
        <v>139</v>
      </c>
      <c r="B143" s="8">
        <f>beregningsark!B150</f>
        <v>114.64224562083467</v>
      </c>
      <c r="C143" s="8">
        <f>beregningsark!N150</f>
        <v>4</v>
      </c>
      <c r="D143" s="8">
        <f>beregningsark!C150</f>
        <v>1.02</v>
      </c>
      <c r="E143" s="9">
        <f>beregningsark!U150*1000</f>
        <v>854.79995864813191</v>
      </c>
      <c r="F143" s="9">
        <f>beregningsark!V150</f>
        <v>779.44061597722794</v>
      </c>
      <c r="G143" s="8">
        <f t="shared" si="2"/>
        <v>114.64224562083467</v>
      </c>
      <c r="H143" s="8">
        <f>beregningsark!T150</f>
        <v>3.977538797939471</v>
      </c>
      <c r="I143" s="55">
        <f>beregningsark!X150</f>
        <v>2.428932604149229</v>
      </c>
    </row>
    <row r="144" spans="1:9" x14ac:dyDescent="0.25">
      <c r="A144" s="13">
        <v>140</v>
      </c>
      <c r="B144" s="56">
        <f>beregningsark!B151</f>
        <v>115.4970455794828</v>
      </c>
      <c r="C144" s="8">
        <f>beregningsark!N151</f>
        <v>4</v>
      </c>
      <c r="D144" s="8">
        <f>beregningsark!C151</f>
        <v>1.02</v>
      </c>
      <c r="E144" s="63">
        <f>beregningsark!U151*1000</f>
        <v>854.59356933732477</v>
      </c>
      <c r="F144" s="63">
        <f>beregningsark!V151</f>
        <v>779.97889699630571</v>
      </c>
      <c r="G144" s="56">
        <f t="shared" si="2"/>
        <v>115.4970455794828</v>
      </c>
      <c r="H144" s="56">
        <f>beregningsark!T151</f>
        <v>3.9784993966622673</v>
      </c>
      <c r="I144" s="57">
        <f>beregningsark!X151</f>
        <v>2.4410551712332498</v>
      </c>
    </row>
    <row r="145" spans="1:9" x14ac:dyDescent="0.25">
      <c r="A145" s="7">
        <v>141</v>
      </c>
      <c r="B145" s="8">
        <f>beregningsark!B152</f>
        <v>116.35163914882013</v>
      </c>
      <c r="C145" s="8">
        <f>beregningsark!N152</f>
        <v>4</v>
      </c>
      <c r="D145" s="8">
        <f>beregningsark!C152</f>
        <v>1.02</v>
      </c>
      <c r="E145" s="9">
        <f>beregningsark!U152*1000</f>
        <v>854.38793890400564</v>
      </c>
      <c r="F145" s="9">
        <f>beregningsark!V152</f>
        <v>780.50807906964621</v>
      </c>
      <c r="G145" s="8">
        <f t="shared" si="2"/>
        <v>116.35163914882013</v>
      </c>
      <c r="H145" s="8">
        <f>beregningsark!T152</f>
        <v>3.9794569248735674</v>
      </c>
      <c r="I145" s="55">
        <f>beregningsark!X152</f>
        <v>2.4529940206536538</v>
      </c>
    </row>
    <row r="146" spans="1:9" x14ac:dyDescent="0.25">
      <c r="A146" s="7">
        <v>142</v>
      </c>
      <c r="B146" s="8">
        <f>beregningsark!B153</f>
        <v>117.20602708772414</v>
      </c>
      <c r="C146" s="8">
        <f>beregningsark!N153</f>
        <v>4</v>
      </c>
      <c r="D146" s="8">
        <f>beregningsark!C153</f>
        <v>1.02</v>
      </c>
      <c r="E146" s="9">
        <f>beregningsark!U153*1000</f>
        <v>854.18305944995927</v>
      </c>
      <c r="F146" s="9">
        <f>beregningsark!V153</f>
        <v>781.02835977270524</v>
      </c>
      <c r="G146" s="8">
        <f t="shared" si="2"/>
        <v>117.20602708772414</v>
      </c>
      <c r="H146" s="8">
        <f>beregningsark!T153</f>
        <v>3.9804114146087</v>
      </c>
      <c r="I146" s="55">
        <f>beregningsark!X153</f>
        <v>2.4647534491427678</v>
      </c>
    </row>
    <row r="147" spans="1:9" x14ac:dyDescent="0.25">
      <c r="A147" s="7">
        <v>143</v>
      </c>
      <c r="B147" s="8">
        <f>beregningsark!B154</f>
        <v>118.0602101471741</v>
      </c>
      <c r="C147" s="8">
        <f>beregningsark!N154</f>
        <v>4</v>
      </c>
      <c r="D147" s="8">
        <f>beregningsark!C154</f>
        <v>1.02</v>
      </c>
      <c r="E147" s="9">
        <f>beregningsark!U154*1000</f>
        <v>853.97892321685345</v>
      </c>
      <c r="F147" s="9">
        <f>beregningsark!V154</f>
        <v>781.53993109911971</v>
      </c>
      <c r="G147" s="8">
        <f t="shared" si="2"/>
        <v>118.0602101471741</v>
      </c>
      <c r="H147" s="8">
        <f>beregningsark!T154</f>
        <v>3.9813628973330384</v>
      </c>
      <c r="I147" s="55">
        <f>beregningsark!X154</f>
        <v>2.4763376198983207</v>
      </c>
    </row>
    <row r="148" spans="1:9" x14ac:dyDescent="0.25">
      <c r="A148" s="7">
        <v>144</v>
      </c>
      <c r="B148" s="8">
        <f>beregningsark!B155</f>
        <v>118.91418907039096</v>
      </c>
      <c r="C148" s="8">
        <f>beregningsark!N155</f>
        <v>4</v>
      </c>
      <c r="D148" s="8">
        <f>beregningsark!C155</f>
        <v>1.02</v>
      </c>
      <c r="E148" s="9">
        <f>beregningsark!U155*1000</f>
        <v>853.77552258274659</v>
      </c>
      <c r="F148" s="9">
        <f>beregningsark!V155</f>
        <v>782.0429796554929</v>
      </c>
      <c r="G148" s="8">
        <f t="shared" si="2"/>
        <v>118.91418907039096</v>
      </c>
      <c r="H148" s="8">
        <f>beregningsark!T155</f>
        <v>3.9823114039562753</v>
      </c>
      <c r="I148" s="55">
        <f>beregningsark!X155</f>
        <v>2.4877505677377307</v>
      </c>
    </row>
    <row r="149" spans="1:9" x14ac:dyDescent="0.25">
      <c r="A149" s="7">
        <v>145</v>
      </c>
      <c r="B149" s="8">
        <f>beregningsark!B156</f>
        <v>119.76796459297371</v>
      </c>
      <c r="C149" s="8">
        <f>beregningsark!N156</f>
        <v>4</v>
      </c>
      <c r="D149" s="8">
        <f>beregningsark!C156</f>
        <v>1.02</v>
      </c>
      <c r="E149" s="9">
        <f>beregningsark!U156*1000</f>
        <v>853.57285005870733</v>
      </c>
      <c r="F149" s="9">
        <f>beregningsark!V156</f>
        <v>782.53768684809449</v>
      </c>
      <c r="G149" s="8">
        <f t="shared" si="2"/>
        <v>119.76796459297371</v>
      </c>
      <c r="H149" s="8">
        <f>beregningsark!T156</f>
        <v>3.9832569648462384</v>
      </c>
      <c r="I149" s="55">
        <f>beregningsark!X156</f>
        <v>2.4989962040153482</v>
      </c>
    </row>
    <row r="150" spans="1:9" x14ac:dyDescent="0.25">
      <c r="A150" s="7">
        <v>146</v>
      </c>
      <c r="B150" s="8">
        <f>beregningsark!B157</f>
        <v>120.62153744303242</v>
      </c>
      <c r="C150" s="8">
        <f>beregningsark!N157</f>
        <v>4</v>
      </c>
      <c r="D150" s="8">
        <f>beregningsark!C157</f>
        <v>1.02</v>
      </c>
      <c r="E150" s="9">
        <f>beregningsark!U157*1000</f>
        <v>853.37089828554281</v>
      </c>
      <c r="F150" s="9">
        <f>beregningsark!V157</f>
        <v>783.02422906186598</v>
      </c>
      <c r="G150" s="8">
        <f t="shared" si="2"/>
        <v>120.62153744303242</v>
      </c>
      <c r="H150" s="8">
        <f>beregningsark!T157</f>
        <v>3.9841996098422614</v>
      </c>
      <c r="I150" s="55">
        <f>beregningsark!X157</f>
        <v>2.5100783213152842</v>
      </c>
    </row>
    <row r="151" spans="1:9" x14ac:dyDescent="0.25">
      <c r="A151" s="13">
        <v>147</v>
      </c>
      <c r="B151" s="56">
        <f>beregningsark!B158</f>
        <v>121.47490834131797</v>
      </c>
      <c r="C151" s="8">
        <f>beregningsark!N158</f>
        <v>4</v>
      </c>
      <c r="D151" s="8">
        <f>beregningsark!C158</f>
        <v>1.02</v>
      </c>
      <c r="E151" s="63">
        <f>beregningsark!U158*1000</f>
        <v>853.16966003062873</v>
      </c>
      <c r="F151" s="63">
        <f>beregningsark!V158</f>
        <v>783.50277783209515</v>
      </c>
      <c r="G151" s="56">
        <f t="shared" si="2"/>
        <v>121.47490834131797</v>
      </c>
      <c r="H151" s="56">
        <f>beregningsark!T158</f>
        <v>3.9851393682681358</v>
      </c>
      <c r="I151" s="57">
        <f>beregningsark!X158</f>
        <v>2.5210005979316814</v>
      </c>
    </row>
    <row r="152" spans="1:9" x14ac:dyDescent="0.25">
      <c r="A152" s="7">
        <v>148</v>
      </c>
      <c r="B152" s="8">
        <f>beregningsark!B159</f>
        <v>122.3280780013486</v>
      </c>
      <c r="C152" s="8">
        <f>beregningsark!N159</f>
        <v>4</v>
      </c>
      <c r="D152" s="8">
        <f>beregningsark!C159</f>
        <v>1.02</v>
      </c>
      <c r="E152" s="9">
        <f>beregningsark!U159*1000</f>
        <v>852.9691281848402</v>
      </c>
      <c r="F152" s="9">
        <f>beregningsark!V159</f>
        <v>783.97350000911217</v>
      </c>
      <c r="G152" s="8">
        <f t="shared" si="2"/>
        <v>122.3280780013486</v>
      </c>
      <c r="H152" s="8">
        <f>beregningsark!T159</f>
        <v>3.9860762689446516</v>
      </c>
      <c r="I152" s="55">
        <f>beregningsark!X159</f>
        <v>2.531766602147584</v>
      </c>
    </row>
    <row r="153" spans="1:9" x14ac:dyDescent="0.25">
      <c r="A153" s="7">
        <v>149</v>
      </c>
      <c r="B153" s="8">
        <f>beregningsark!B160</f>
        <v>123.18104712953344</v>
      </c>
      <c r="C153" s="8">
        <f>beregningsark!N160</f>
        <v>4</v>
      </c>
      <c r="D153" s="8">
        <f>beregningsark!C160</f>
        <v>1.02</v>
      </c>
      <c r="E153" s="9">
        <f>beregningsark!U160*1000</f>
        <v>852.76929575957865</v>
      </c>
      <c r="F153" s="9">
        <f>beregningsark!V160</f>
        <v>784.43655791633182</v>
      </c>
      <c r="G153" s="8">
        <f t="shared" si="2"/>
        <v>123.18104712953344</v>
      </c>
      <c r="H153" s="8">
        <f>beregningsark!T160</f>
        <v>3.9870103402017447</v>
      </c>
      <c r="I153" s="55">
        <f>beregningsark!X160</f>
        <v>2.5423797963228885</v>
      </c>
    </row>
    <row r="154" spans="1:9" x14ac:dyDescent="0.25">
      <c r="A154" s="7">
        <v>150</v>
      </c>
      <c r="B154" s="8">
        <f>beregningsark!B161</f>
        <v>124.03381642529301</v>
      </c>
      <c r="C154" s="8">
        <f>beregningsark!N161</f>
        <v>4</v>
      </c>
      <c r="D154" s="8">
        <f>beregningsark!C161</f>
        <v>1.02</v>
      </c>
      <c r="E154" s="9">
        <f>beregningsark!U161*1000</f>
        <v>852.57015588388992</v>
      </c>
      <c r="F154" s="9">
        <f>beregningsark!V161</f>
        <v>784.89210950195343</v>
      </c>
      <c r="G154" s="8">
        <f t="shared" si="2"/>
        <v>124.03381642529301</v>
      </c>
      <c r="H154" s="8">
        <f>beregningsark!T161</f>
        <v>3.9879416098902718</v>
      </c>
      <c r="I154" s="55">
        <f>beregningsark!X161</f>
        <v>2.552843540801248</v>
      </c>
    </row>
    <row r="155" spans="1:9" x14ac:dyDescent="0.25">
      <c r="A155" s="7">
        <v>151</v>
      </c>
      <c r="B155" s="8">
        <f>beregningsark!B162</f>
        <v>124.88638658117691</v>
      </c>
      <c r="C155" s="8">
        <f>beregningsark!N162</f>
        <v>4</v>
      </c>
      <c r="D155" s="8">
        <f>beregningsark!C162</f>
        <v>1.02</v>
      </c>
      <c r="E155" s="9">
        <f>beregningsark!U162*1000</f>
        <v>852.37170180167186</v>
      </c>
      <c r="F155" s="9">
        <f>beregningsark!V162</f>
        <v>785.34030848461532</v>
      </c>
      <c r="G155" s="8">
        <f t="shared" si="2"/>
        <v>124.88638658117691</v>
      </c>
      <c r="H155" s="8">
        <f>beregningsark!T162</f>
        <v>3.9888701053934157</v>
      </c>
      <c r="I155" s="55">
        <f>beregningsark!X162</f>
        <v>2.5631610976452142</v>
      </c>
    </row>
    <row r="156" spans="1:9" x14ac:dyDescent="0.25">
      <c r="A156" s="7">
        <v>152</v>
      </c>
      <c r="B156" s="8">
        <f>beregningsark!B163</f>
        <v>125.73875828297858</v>
      </c>
      <c r="C156" s="8">
        <f>beregningsark!N163</f>
        <v>4</v>
      </c>
      <c r="D156" s="8">
        <f>beregningsark!C163</f>
        <v>1.02</v>
      </c>
      <c r="E156" s="9">
        <f>beregningsark!U163*1000</f>
        <v>852.17392686896642</v>
      </c>
      <c r="F156" s="9">
        <f>beregningsark!V163</f>
        <v>785.78130449328012</v>
      </c>
      <c r="G156" s="8">
        <f t="shared" si="2"/>
        <v>125.73875828297858</v>
      </c>
      <c r="H156" s="8">
        <f>beregningsark!T163</f>
        <v>3.989795853637748</v>
      </c>
      <c r="I156" s="55">
        <f>beregningsark!X163</f>
        <v>2.5733356342083717</v>
      </c>
    </row>
  </sheetData>
  <sheetProtection algorithmName="SHA-512" hashValue="i2kJUgrmabIR4yshfCygRfD/rfeX9ZibSWMnne8Wsm3hkZa2cjZvM/JNRP8Eg2ryNquCa/PPNGMRVhqBe8p2lQ==" saltValue="NygreV2Sw9iXeMOxT6Etz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ED10-CCB5-4C0D-B920-BDCF2B59F0CE}">
  <dimension ref="A1:K58"/>
  <sheetViews>
    <sheetView tabSelected="1" workbookViewId="0">
      <selection activeCell="L57" sqref="L57"/>
    </sheetView>
  </sheetViews>
  <sheetFormatPr defaultRowHeight="15" x14ac:dyDescent="0.25"/>
  <sheetData>
    <row r="1" spans="1:11" ht="18.75" x14ac:dyDescent="0.3">
      <c r="A1" s="175" t="s">
        <v>335</v>
      </c>
      <c r="B1" s="175"/>
      <c r="C1" s="175"/>
      <c r="D1" s="175"/>
      <c r="E1" s="175"/>
      <c r="F1" s="175"/>
      <c r="G1" s="175"/>
      <c r="H1" s="101"/>
      <c r="I1" s="101"/>
      <c r="J1" s="101"/>
      <c r="K1" s="198"/>
    </row>
    <row r="2" spans="1:11" ht="18.75" x14ac:dyDescent="0.3">
      <c r="A2" s="175" t="s">
        <v>336</v>
      </c>
      <c r="B2" s="175"/>
      <c r="C2" s="175"/>
      <c r="D2" s="175"/>
      <c r="E2" s="175"/>
      <c r="F2" s="175"/>
      <c r="G2" s="175"/>
      <c r="H2" s="101"/>
      <c r="I2" s="101"/>
      <c r="J2" s="101"/>
      <c r="K2" s="198"/>
    </row>
    <row r="3" spans="1:11" ht="15.75" x14ac:dyDescent="0.25">
      <c r="A3" s="199" t="s">
        <v>334</v>
      </c>
      <c r="B3" s="199"/>
      <c r="C3" s="199"/>
      <c r="D3" s="199"/>
      <c r="E3" s="199"/>
      <c r="F3" s="199"/>
      <c r="G3" s="199"/>
      <c r="H3" s="199"/>
      <c r="I3" s="198"/>
      <c r="J3" s="198"/>
      <c r="K3" s="198"/>
    </row>
    <row r="4" spans="1:11" ht="15.75" x14ac:dyDescent="0.25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ht="15.75" x14ac:dyDescent="0.25">
      <c r="A5" s="198" t="s">
        <v>299</v>
      </c>
      <c r="B5" s="198"/>
      <c r="C5" s="198"/>
      <c r="D5" s="198"/>
      <c r="E5" s="198"/>
      <c r="F5" s="198"/>
      <c r="G5" s="198"/>
    </row>
    <row r="6" spans="1:11" x14ac:dyDescent="0.25">
      <c r="A6" s="78" t="s">
        <v>300</v>
      </c>
      <c r="B6" s="78"/>
      <c r="C6" s="78"/>
      <c r="D6" s="78"/>
      <c r="E6" s="78"/>
      <c r="F6" s="78"/>
      <c r="G6" s="78"/>
      <c r="H6" s="78"/>
      <c r="I6" s="78"/>
      <c r="J6" s="78"/>
    </row>
    <row r="7" spans="1:11" x14ac:dyDescent="0.25">
      <c r="A7" s="200" t="s">
        <v>301</v>
      </c>
      <c r="B7" s="78"/>
      <c r="C7" s="78"/>
      <c r="D7" s="78"/>
      <c r="E7" s="78"/>
      <c r="F7" s="78"/>
      <c r="G7" s="78"/>
      <c r="H7" s="78"/>
      <c r="I7" s="78"/>
      <c r="J7" s="78"/>
    </row>
    <row r="8" spans="1:11" x14ac:dyDescent="0.25">
      <c r="A8" s="200" t="s">
        <v>338</v>
      </c>
      <c r="B8" s="78"/>
      <c r="C8" s="78"/>
      <c r="D8" s="78"/>
      <c r="E8" s="78"/>
      <c r="F8" s="78"/>
      <c r="G8" s="78"/>
      <c r="H8" s="78"/>
      <c r="I8" s="78"/>
      <c r="J8" s="78"/>
    </row>
    <row r="9" spans="1:11" x14ac:dyDescent="0.25">
      <c r="A9" s="200" t="s">
        <v>337</v>
      </c>
      <c r="B9" s="78"/>
      <c r="C9" s="78"/>
      <c r="D9" s="78"/>
      <c r="E9" s="78"/>
      <c r="F9" s="78"/>
      <c r="G9" s="78"/>
      <c r="H9" s="78"/>
      <c r="I9" s="78"/>
      <c r="J9" s="78"/>
    </row>
    <row r="10" spans="1:11" x14ac:dyDescent="0.25">
      <c r="A10" s="200" t="s">
        <v>339</v>
      </c>
      <c r="B10" s="78"/>
      <c r="C10" s="78"/>
      <c r="D10" s="78"/>
      <c r="E10" s="78"/>
      <c r="F10" s="78"/>
      <c r="G10" s="78"/>
      <c r="H10" s="78"/>
      <c r="I10" s="78"/>
      <c r="J10" s="78"/>
    </row>
    <row r="11" spans="1:11" x14ac:dyDescent="0.25">
      <c r="A11" s="200" t="s">
        <v>340</v>
      </c>
      <c r="B11" s="78"/>
      <c r="C11" s="78"/>
      <c r="D11" s="78"/>
      <c r="E11" s="78"/>
      <c r="F11" s="78"/>
      <c r="G11" s="78"/>
      <c r="H11" s="78"/>
      <c r="I11" s="78"/>
      <c r="J11" s="78"/>
    </row>
    <row r="12" spans="1:11" x14ac:dyDescent="0.25">
      <c r="A12" s="200" t="s">
        <v>302</v>
      </c>
      <c r="B12" s="78"/>
      <c r="C12" s="78"/>
      <c r="D12" s="78"/>
      <c r="E12" s="78"/>
      <c r="F12" s="78"/>
      <c r="G12" s="78"/>
      <c r="H12" s="78"/>
      <c r="I12" s="78"/>
      <c r="J12" s="78"/>
    </row>
    <row r="13" spans="1:11" x14ac:dyDescent="0.25">
      <c r="A13" s="200" t="s">
        <v>303</v>
      </c>
      <c r="B13" s="78"/>
      <c r="C13" s="78"/>
      <c r="D13" s="78"/>
      <c r="E13" s="78"/>
      <c r="F13" s="78"/>
      <c r="G13" s="78"/>
      <c r="H13" s="78"/>
      <c r="I13" s="78"/>
      <c r="J13" s="78"/>
    </row>
    <row r="14" spans="1:11" x14ac:dyDescent="0.25">
      <c r="A14" s="200" t="s">
        <v>304</v>
      </c>
      <c r="B14" s="78"/>
      <c r="C14" s="78"/>
      <c r="D14" s="78"/>
      <c r="E14" s="78"/>
      <c r="F14" s="78"/>
      <c r="G14" s="78"/>
      <c r="H14" s="78"/>
      <c r="I14" s="78"/>
      <c r="J14" s="78"/>
    </row>
    <row r="15" spans="1:11" x14ac:dyDescent="0.25">
      <c r="A15" s="201" t="s">
        <v>305</v>
      </c>
      <c r="B15" s="185"/>
      <c r="C15" s="185"/>
      <c r="D15" s="185"/>
      <c r="E15" s="185"/>
      <c r="F15" s="185"/>
      <c r="G15" s="185"/>
      <c r="H15" s="185"/>
      <c r="I15" s="185"/>
      <c r="J15" s="185"/>
    </row>
    <row r="16" spans="1:11" x14ac:dyDescent="0.25">
      <c r="A16" s="201" t="s">
        <v>306</v>
      </c>
      <c r="B16" s="185"/>
      <c r="C16" s="185"/>
      <c r="D16" s="185"/>
      <c r="E16" s="185"/>
      <c r="F16" s="185"/>
      <c r="G16" s="185"/>
      <c r="H16" s="185"/>
      <c r="I16" s="185"/>
      <c r="J16" s="185"/>
    </row>
    <row r="17" spans="1:10" x14ac:dyDescent="0.25">
      <c r="A17" s="201" t="s">
        <v>307</v>
      </c>
      <c r="B17" s="185"/>
      <c r="C17" s="185"/>
      <c r="D17" s="185"/>
      <c r="E17" s="185"/>
      <c r="F17" s="185"/>
      <c r="G17" s="185"/>
      <c r="H17" s="185"/>
      <c r="I17" s="185"/>
      <c r="J17" s="185"/>
    </row>
    <row r="18" spans="1:10" x14ac:dyDescent="0.25">
      <c r="A18" s="200" t="s">
        <v>308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x14ac:dyDescent="0.25">
      <c r="A19" s="200" t="s">
        <v>309</v>
      </c>
      <c r="B19" s="78"/>
      <c r="C19" s="78"/>
      <c r="D19" s="78"/>
      <c r="E19" s="78"/>
      <c r="F19" s="78"/>
      <c r="G19" s="78"/>
      <c r="H19" s="78"/>
      <c r="I19" s="78"/>
      <c r="J19" s="78"/>
    </row>
    <row r="20" spans="1:10" x14ac:dyDescent="0.25">
      <c r="A20" s="200" t="s">
        <v>342</v>
      </c>
      <c r="B20" s="78"/>
      <c r="C20" s="78"/>
      <c r="D20" s="78"/>
      <c r="E20" s="78"/>
      <c r="F20" s="78"/>
      <c r="G20" s="78"/>
      <c r="H20" s="78"/>
      <c r="I20" s="78"/>
      <c r="J20" s="78"/>
    </row>
    <row r="21" spans="1:10" x14ac:dyDescent="0.25">
      <c r="A21" s="202" t="s">
        <v>341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0" x14ac:dyDescent="0.25">
      <c r="A22" s="185" t="s">
        <v>310</v>
      </c>
      <c r="B22" s="185"/>
      <c r="C22" s="185"/>
      <c r="D22" s="185"/>
      <c r="E22" s="185"/>
      <c r="F22" s="185"/>
      <c r="G22" s="185"/>
      <c r="H22" s="185"/>
      <c r="I22" s="185"/>
      <c r="J22" s="185"/>
    </row>
    <row r="23" spans="1:10" x14ac:dyDescent="0.25">
      <c r="A23" s="201" t="s">
        <v>311</v>
      </c>
      <c r="B23" s="185"/>
      <c r="C23" s="185"/>
      <c r="D23" s="185"/>
      <c r="E23" s="185"/>
      <c r="F23" s="185"/>
      <c r="G23" s="185"/>
      <c r="H23" s="185"/>
      <c r="I23" s="185"/>
      <c r="J23" s="185"/>
    </row>
    <row r="24" spans="1:10" x14ac:dyDescent="0.25">
      <c r="A24" s="201" t="s">
        <v>312</v>
      </c>
      <c r="B24" s="185"/>
      <c r="C24" s="185"/>
      <c r="D24" s="185"/>
      <c r="E24" s="185"/>
      <c r="F24" s="185"/>
      <c r="G24" s="185"/>
      <c r="H24" s="185"/>
      <c r="I24" s="185"/>
      <c r="J24" s="185"/>
    </row>
    <row r="25" spans="1:10" x14ac:dyDescent="0.25">
      <c r="A25" s="201" t="s">
        <v>313</v>
      </c>
      <c r="B25" s="185"/>
      <c r="C25" s="185"/>
      <c r="D25" s="185"/>
      <c r="E25" s="185"/>
      <c r="F25" s="185"/>
      <c r="G25" s="185"/>
      <c r="H25" s="185"/>
      <c r="I25" s="185"/>
      <c r="J25" s="185"/>
    </row>
    <row r="26" spans="1:10" x14ac:dyDescent="0.25">
      <c r="A26" s="201" t="s">
        <v>314</v>
      </c>
      <c r="B26" s="185"/>
      <c r="C26" s="185"/>
      <c r="D26" s="185"/>
      <c r="E26" s="185"/>
      <c r="F26" s="185"/>
      <c r="G26" s="185"/>
      <c r="H26" s="185"/>
      <c r="I26" s="185"/>
      <c r="J26" s="185"/>
    </row>
    <row r="27" spans="1:10" x14ac:dyDescent="0.25">
      <c r="A27" s="203" t="s">
        <v>315</v>
      </c>
      <c r="B27" s="185"/>
      <c r="C27" s="185"/>
      <c r="D27" s="185"/>
      <c r="E27" s="185"/>
      <c r="F27" s="185"/>
      <c r="G27" s="185"/>
      <c r="H27" s="185"/>
      <c r="I27" s="185"/>
      <c r="J27" s="185"/>
    </row>
    <row r="28" spans="1:10" x14ac:dyDescent="0.25">
      <c r="A28" s="200" t="s">
        <v>316</v>
      </c>
      <c r="B28" s="78"/>
      <c r="C28" s="78"/>
      <c r="D28" s="78"/>
      <c r="E28" s="78"/>
      <c r="F28" s="78"/>
      <c r="G28" s="78"/>
      <c r="H28" s="78"/>
      <c r="I28" s="78"/>
      <c r="J28" s="78"/>
    </row>
    <row r="29" spans="1:10" x14ac:dyDescent="0.25">
      <c r="A29" s="200" t="s">
        <v>317</v>
      </c>
      <c r="B29" s="78"/>
      <c r="C29" s="78"/>
      <c r="D29" s="78"/>
      <c r="E29" s="78"/>
      <c r="F29" s="78"/>
      <c r="G29" s="78"/>
      <c r="H29" s="78"/>
      <c r="I29" s="78"/>
      <c r="J29" s="78"/>
    </row>
    <row r="30" spans="1:10" x14ac:dyDescent="0.25">
      <c r="A30" s="200" t="s">
        <v>318</v>
      </c>
      <c r="B30" s="78"/>
      <c r="C30" s="78"/>
      <c r="D30" s="78"/>
      <c r="E30" s="78"/>
      <c r="F30" s="78"/>
      <c r="G30" s="78"/>
      <c r="H30" s="78"/>
      <c r="I30" s="78"/>
      <c r="J30" s="78"/>
    </row>
    <row r="31" spans="1:10" x14ac:dyDescent="0.25">
      <c r="A31" s="200" t="s">
        <v>319</v>
      </c>
      <c r="B31" s="78"/>
      <c r="C31" s="78"/>
      <c r="D31" s="78"/>
      <c r="E31" s="78"/>
      <c r="F31" s="78"/>
      <c r="G31" s="78"/>
      <c r="H31" s="78"/>
      <c r="I31" s="78"/>
      <c r="J31" s="78"/>
    </row>
    <row r="32" spans="1:10" x14ac:dyDescent="0.25">
      <c r="A32" s="201" t="s">
        <v>320</v>
      </c>
      <c r="B32" s="185"/>
      <c r="C32" s="185"/>
      <c r="D32" s="185"/>
      <c r="E32" s="185"/>
      <c r="F32" s="185"/>
      <c r="G32" s="185"/>
      <c r="H32" s="185"/>
      <c r="I32" s="185"/>
      <c r="J32" s="185"/>
    </row>
    <row r="33" spans="1:10" x14ac:dyDescent="0.25">
      <c r="A33" s="201" t="s">
        <v>321</v>
      </c>
      <c r="B33" s="185"/>
      <c r="C33" s="185"/>
      <c r="D33" s="185"/>
      <c r="E33" s="185"/>
      <c r="F33" s="185"/>
      <c r="G33" s="185"/>
      <c r="H33" s="185"/>
      <c r="I33" s="185"/>
      <c r="J33" s="185"/>
    </row>
    <row r="34" spans="1:10" x14ac:dyDescent="0.25">
      <c r="A34" s="201" t="s">
        <v>322</v>
      </c>
      <c r="B34" s="185"/>
      <c r="C34" s="185"/>
      <c r="D34" s="185"/>
      <c r="E34" s="185"/>
      <c r="F34" s="185"/>
      <c r="G34" s="185"/>
      <c r="H34" s="185"/>
      <c r="I34" s="185"/>
      <c r="J34" s="185"/>
    </row>
    <row r="35" spans="1:10" x14ac:dyDescent="0.25">
      <c r="A35" s="201" t="s">
        <v>324</v>
      </c>
      <c r="B35" s="185"/>
      <c r="C35" s="185"/>
      <c r="D35" s="185"/>
      <c r="E35" s="185"/>
      <c r="F35" s="185"/>
      <c r="G35" s="185"/>
      <c r="H35" s="185"/>
      <c r="I35" s="185"/>
      <c r="J35" s="185"/>
    </row>
    <row r="36" spans="1:10" x14ac:dyDescent="0.25">
      <c r="A36" s="201" t="s">
        <v>323</v>
      </c>
      <c r="B36" s="185"/>
      <c r="C36" s="185"/>
      <c r="D36" s="185"/>
      <c r="E36" s="185"/>
      <c r="F36" s="185"/>
      <c r="G36" s="185"/>
      <c r="H36" s="185"/>
      <c r="I36" s="185"/>
      <c r="J36" s="185"/>
    </row>
    <row r="37" spans="1:10" x14ac:dyDescent="0.25">
      <c r="A37" s="201" t="s">
        <v>343</v>
      </c>
      <c r="B37" s="185"/>
      <c r="C37" s="185"/>
      <c r="D37" s="185"/>
      <c r="E37" s="185"/>
      <c r="F37" s="185"/>
      <c r="G37" s="185"/>
      <c r="H37" s="185"/>
      <c r="I37" s="185"/>
      <c r="J37" s="185"/>
    </row>
    <row r="38" spans="1:10" x14ac:dyDescent="0.25">
      <c r="A38" s="201" t="s">
        <v>325</v>
      </c>
      <c r="B38" s="185"/>
      <c r="C38" s="185"/>
      <c r="D38" s="185"/>
      <c r="E38" s="185"/>
      <c r="F38" s="185"/>
      <c r="G38" s="185"/>
      <c r="H38" s="185"/>
      <c r="I38" s="185"/>
      <c r="J38" s="185"/>
    </row>
    <row r="39" spans="1:10" x14ac:dyDescent="0.25">
      <c r="A39" s="201" t="s">
        <v>326</v>
      </c>
      <c r="B39" s="185"/>
      <c r="C39" s="185"/>
      <c r="D39" s="185"/>
      <c r="E39" s="185"/>
      <c r="F39" s="185"/>
      <c r="G39" s="185"/>
      <c r="H39" s="185"/>
      <c r="I39" s="185"/>
      <c r="J39" s="185"/>
    </row>
    <row r="40" spans="1:10" x14ac:dyDescent="0.25">
      <c r="A40" s="201" t="s">
        <v>344</v>
      </c>
      <c r="B40" s="185"/>
      <c r="C40" s="185"/>
      <c r="D40" s="185"/>
      <c r="E40" s="185"/>
      <c r="F40" s="185"/>
      <c r="G40" s="185"/>
      <c r="H40" s="185"/>
      <c r="I40" s="185"/>
      <c r="J40" s="185"/>
    </row>
    <row r="41" spans="1:10" x14ac:dyDescent="0.25">
      <c r="A41" s="201" t="s">
        <v>345</v>
      </c>
      <c r="B41" s="185"/>
      <c r="C41" s="185"/>
      <c r="D41" s="185"/>
      <c r="E41" s="185"/>
      <c r="F41" s="185"/>
      <c r="G41" s="185"/>
      <c r="H41" s="185"/>
      <c r="I41" s="185"/>
      <c r="J41" s="185"/>
    </row>
    <row r="42" spans="1:10" x14ac:dyDescent="0.25">
      <c r="A42" s="201" t="s">
        <v>327</v>
      </c>
      <c r="B42" s="185"/>
      <c r="C42" s="185"/>
      <c r="D42" s="185"/>
      <c r="E42" s="185"/>
      <c r="F42" s="185"/>
      <c r="G42" s="185"/>
      <c r="H42" s="185"/>
      <c r="I42" s="185"/>
      <c r="J42" s="185"/>
    </row>
    <row r="43" spans="1:10" x14ac:dyDescent="0.25">
      <c r="A43" s="200" t="s">
        <v>328</v>
      </c>
      <c r="B43" s="78"/>
      <c r="C43" s="78"/>
      <c r="D43" s="78"/>
      <c r="E43" s="78"/>
      <c r="F43" s="78"/>
      <c r="G43" s="78"/>
      <c r="H43" s="78"/>
      <c r="I43" s="78"/>
      <c r="J43" s="78"/>
    </row>
    <row r="44" spans="1:10" x14ac:dyDescent="0.25">
      <c r="A44" s="200" t="s">
        <v>346</v>
      </c>
      <c r="B44" s="78"/>
      <c r="C44" s="78"/>
      <c r="D44" s="78"/>
      <c r="E44" s="78"/>
      <c r="F44" s="78"/>
      <c r="G44" s="78"/>
      <c r="H44" s="78"/>
      <c r="I44" s="78"/>
      <c r="J44" s="78"/>
    </row>
    <row r="45" spans="1:10" x14ac:dyDescent="0.25">
      <c r="A45" s="200" t="s">
        <v>329</v>
      </c>
      <c r="B45" s="78"/>
      <c r="C45" s="78"/>
      <c r="D45" s="78"/>
      <c r="E45" s="78"/>
      <c r="F45" s="78"/>
      <c r="G45" s="78"/>
      <c r="H45" s="78"/>
      <c r="I45" s="78"/>
      <c r="J45" s="78"/>
    </row>
    <row r="46" spans="1:10" x14ac:dyDescent="0.25">
      <c r="A46" s="200" t="s">
        <v>347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 x14ac:dyDescent="0.25">
      <c r="A47" s="201" t="s">
        <v>330</v>
      </c>
      <c r="B47" s="185"/>
      <c r="C47" s="185"/>
      <c r="D47" s="185"/>
      <c r="E47" s="185"/>
      <c r="F47" s="185"/>
      <c r="G47" s="185"/>
      <c r="H47" s="185"/>
      <c r="I47" s="185"/>
      <c r="J47" s="185"/>
    </row>
    <row r="48" spans="1:10" x14ac:dyDescent="0.25">
      <c r="A48" s="201" t="s">
        <v>355</v>
      </c>
      <c r="B48" s="185"/>
      <c r="C48" s="185"/>
      <c r="D48" s="185"/>
      <c r="E48" s="185"/>
      <c r="F48" s="185"/>
      <c r="G48" s="185"/>
      <c r="H48" s="185"/>
      <c r="I48" s="185"/>
      <c r="J48" s="185"/>
    </row>
    <row r="49" spans="1:10" x14ac:dyDescent="0.25">
      <c r="A49" s="200" t="s">
        <v>331</v>
      </c>
      <c r="B49" s="78"/>
      <c r="C49" s="78"/>
      <c r="D49" s="78"/>
      <c r="E49" s="78"/>
      <c r="F49" s="78"/>
      <c r="G49" s="78"/>
      <c r="H49" s="78"/>
      <c r="I49" s="78"/>
      <c r="J49" s="78"/>
    </row>
    <row r="50" spans="1:10" x14ac:dyDescent="0.25">
      <c r="A50" s="200" t="s">
        <v>350</v>
      </c>
      <c r="B50" s="78"/>
      <c r="C50" s="78"/>
      <c r="D50" s="78"/>
      <c r="E50" s="78"/>
      <c r="F50" s="78"/>
      <c r="G50" s="78"/>
      <c r="H50" s="78"/>
      <c r="I50" s="78"/>
      <c r="J50" s="78"/>
    </row>
    <row r="51" spans="1:10" x14ac:dyDescent="0.25">
      <c r="A51" s="200" t="s">
        <v>351</v>
      </c>
      <c r="B51" s="78"/>
      <c r="C51" s="78"/>
      <c r="D51" s="78"/>
      <c r="E51" s="78"/>
      <c r="F51" s="78"/>
      <c r="G51" s="78"/>
      <c r="H51" s="78"/>
      <c r="I51" s="78"/>
      <c r="J51" s="78"/>
    </row>
    <row r="52" spans="1:10" x14ac:dyDescent="0.25">
      <c r="A52" s="202" t="s">
        <v>348</v>
      </c>
      <c r="B52" s="78"/>
      <c r="C52" s="78"/>
      <c r="D52" s="78"/>
      <c r="E52" s="78"/>
      <c r="F52" s="78"/>
      <c r="G52" s="78"/>
      <c r="H52" s="78"/>
      <c r="I52" s="78"/>
      <c r="J52" s="78"/>
    </row>
    <row r="53" spans="1:10" x14ac:dyDescent="0.25">
      <c r="A53" s="201" t="s">
        <v>332</v>
      </c>
      <c r="B53" s="185"/>
      <c r="C53" s="185"/>
      <c r="D53" s="185"/>
      <c r="E53" s="185"/>
      <c r="F53" s="185"/>
      <c r="G53" s="185"/>
      <c r="H53" s="185"/>
      <c r="I53" s="185"/>
      <c r="J53" s="185"/>
    </row>
    <row r="54" spans="1:10" x14ac:dyDescent="0.25">
      <c r="A54" s="203" t="s">
        <v>333</v>
      </c>
      <c r="B54" s="185"/>
      <c r="C54" s="185"/>
      <c r="D54" s="185"/>
      <c r="E54" s="185"/>
      <c r="F54" s="185"/>
      <c r="G54" s="185"/>
      <c r="H54" s="185"/>
      <c r="I54" s="185"/>
      <c r="J54" s="185"/>
    </row>
    <row r="55" spans="1:10" x14ac:dyDescent="0.25">
      <c r="A55" s="200" t="s">
        <v>349</v>
      </c>
      <c r="B55" s="78"/>
      <c r="C55" s="78"/>
      <c r="D55" s="78"/>
      <c r="E55" s="78"/>
      <c r="F55" s="78"/>
      <c r="G55" s="78"/>
      <c r="H55" s="78"/>
      <c r="I55" s="78"/>
      <c r="J55" s="78"/>
    </row>
    <row r="56" spans="1:10" x14ac:dyDescent="0.25">
      <c r="A56" s="78" t="s">
        <v>353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 x14ac:dyDescent="0.25">
      <c r="A57" s="78" t="s">
        <v>354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x14ac:dyDescent="0.25">
      <c r="A58" t="s">
        <v>356</v>
      </c>
      <c r="B58" s="78"/>
      <c r="C58" s="78"/>
      <c r="D58" s="78"/>
      <c r="E58" s="78"/>
      <c r="F58" s="78"/>
      <c r="G58" s="78"/>
      <c r="H58" s="78"/>
      <c r="I58" s="78"/>
      <c r="J58" s="78"/>
    </row>
  </sheetData>
  <sheetProtection algorithmName="SHA-512" hashValue="OzrN4yC7fWdyKYpbLtjsssZ5ZFxQk8tKwplxN/I5VjYlBWe6mGaCUdhduzjULuYUK2ojaVwOLZKpYv3qKZeExw==" saltValue="YNy+6C+mGSEqtHHZoiHGY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9AECF0C0DF042669F1227F4A133879E0100C463F228579D7B40BC7AC9090504053D" ma:contentTypeVersion="13" ma:contentTypeDescription="" ma:contentTypeScope="" ma:versionID="b28b4b05e83f3f5f7da0152b2707eb85">
  <xsd:schema xmlns:xsd="http://www.w3.org/2001/XMLSchema" xmlns:xs="http://www.w3.org/2001/XMLSchema" xmlns:p="http://schemas.microsoft.com/office/2006/metadata/properties" xmlns:ns3="f01e8204-c9c5-4b3a-ae89-76efb91ee6dd" xmlns:ns4="95205d42-89eb-43c3-ae46-3fd3b7e1c958" targetNamespace="http://schemas.microsoft.com/office/2006/metadata/properties" ma:root="true" ma:fieldsID="ffd25006c83cc57c7974b3e42c059600" ns3:_="" ns4:_="">
    <xsd:import namespace="f01e8204-c9c5-4b3a-ae89-76efb91ee6dd"/>
    <xsd:import namespace="95205d42-89eb-43c3-ae46-3fd3b7e1c958"/>
    <xsd:element name="properties">
      <xsd:complexType>
        <xsd:sequence>
          <xsd:element name="documentManagement">
            <xsd:complexType>
              <xsd:all>
                <xsd:element ref="ns3:DocuWise.Ended" minOccurs="0"/>
                <xsd:element ref="ns3:DocuWise.Received" minOccurs="0"/>
                <xsd:element ref="ns3:DocuWise.Company" minOccurs="0"/>
                <xsd:element ref="ns3:DocuWise.CompanyText" minOccurs="0"/>
                <xsd:element ref="ns3:DocuWise.Type" minOccurs="0"/>
                <xsd:element ref="ns3:DocuWise.Person" minOccurs="0"/>
                <xsd:element ref="ns3:DocuWise.PersonText" minOccurs="0"/>
                <xsd:element ref="ns3:DocuWise.Project" minOccurs="0"/>
                <xsd:element ref="ns3:DocuWise.JobDescription" minOccurs="0"/>
                <xsd:element ref="ns3:DocuWise.Language" minOccurs="0"/>
                <xsd:element ref="ns3:DocuWise.CHRNumber" minOccurs="0"/>
                <xsd:element ref="ns3:DocuWise.TestNumber" minOccurs="0"/>
                <xsd:element ref="ns3:Docuwise.Number" minOccurs="0"/>
                <xsd:element ref="ns3:DocuWise.CaseWorker" minOccurs="0"/>
                <xsd:element ref="ns3:DocuWise.Legacy.CreatedByName" minOccurs="0"/>
                <xsd:element ref="ns3:DocuWise.Legacy.CreatedByEmail" minOccurs="0"/>
                <xsd:element ref="ns3:DocuWise.Legacy.CaseWorkerName" minOccurs="0"/>
                <xsd:element ref="ns3:DocuWise.Legacy.CaseWorkerEmail" minOccurs="0"/>
                <xsd:element ref="ns3:DocuWise.Legacy.Department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e8204-c9c5-4b3a-ae89-76efb91ee6dd" elementFormDefault="qualified">
    <xsd:import namespace="http://schemas.microsoft.com/office/2006/documentManagement/types"/>
    <xsd:import namespace="http://schemas.microsoft.com/office/infopath/2007/PartnerControls"/>
    <xsd:element name="DocuWise.Ended" ma:index="9" nillable="true" ma:displayName="Afsluttet" ma:default="0" ma:internalName="Docuwise_x002e_Ended">
      <xsd:simpleType>
        <xsd:restriction base="dms:Boolean"/>
      </xsd:simpleType>
    </xsd:element>
    <xsd:element name="DocuWise.Received" ma:index="10" nillable="true" ma:displayName="Modtaget" ma:default="0" ma:internalName="Docuwise_x002e_Received">
      <xsd:simpleType>
        <xsd:restriction base="dms:Boolean"/>
      </xsd:simpleType>
    </xsd:element>
    <xsd:element name="DocuWise.Company" ma:index="11" nillable="true" ma:displayName="Firma" ma:internalName="Docuwise_x002e_Company">
      <xsd:simpleType>
        <xsd:restriction base="dms:Text">
          <xsd:maxLength value="255"/>
        </xsd:restriction>
      </xsd:simpleType>
    </xsd:element>
    <xsd:element name="DocuWise.CompanyText" ma:index="12" nillable="true" ma:displayName="Firma tekst" ma:internalName="Docuwise_x002e_CompanyText">
      <xsd:simpleType>
        <xsd:restriction base="dms:Text">
          <xsd:maxLength value="255"/>
        </xsd:restriction>
      </xsd:simpleType>
    </xsd:element>
    <xsd:element name="DocuWise.Type" ma:index="13" nillable="true" ma:displayName="Type" ma:internalName="Docuwise_x002e_Type">
      <xsd:simpleType>
        <xsd:restriction base="dms:Text">
          <xsd:maxLength value="255"/>
        </xsd:restriction>
      </xsd:simpleType>
    </xsd:element>
    <xsd:element name="DocuWise.Person" ma:index="14" nillable="true" ma:displayName="Person" ma:internalName="Docuwise_x002e_Person">
      <xsd:simpleType>
        <xsd:restriction base="dms:Text">
          <xsd:maxLength value="255"/>
        </xsd:restriction>
      </xsd:simpleType>
    </xsd:element>
    <xsd:element name="DocuWise.PersonText" ma:index="15" nillable="true" ma:displayName="Person tekst" ma:internalName="Docuwise_x002e_PersonText">
      <xsd:simpleType>
        <xsd:restriction base="dms:Text">
          <xsd:maxLength value="255"/>
        </xsd:restriction>
      </xsd:simpleType>
    </xsd:element>
    <xsd:element name="DocuWise.Project" ma:index="16" nillable="true" ma:displayName="Projekt" ma:internalName="DocuWise_x002e_Project">
      <xsd:simpleType>
        <xsd:restriction base="dms:Text">
          <xsd:maxLength value="255"/>
        </xsd:restriction>
      </xsd:simpleType>
    </xsd:element>
    <xsd:element name="DocuWise.JobDescription" ma:index="17" nillable="true" ma:displayName="Job beskrivelse" ma:internalName="DocuWise_x002e_JobDescription">
      <xsd:simpleType>
        <xsd:restriction base="dms:Text">
          <xsd:maxLength value="255"/>
        </xsd:restriction>
      </xsd:simpleType>
    </xsd:element>
    <xsd:element name="DocuWise.Language" ma:index="18" nillable="true" ma:displayName="Sprog" ma:internalName="DocuWise_x002e_Language">
      <xsd:simpleType>
        <xsd:restriction base="dms:Text">
          <xsd:maxLength value="255"/>
        </xsd:restriction>
      </xsd:simpleType>
    </xsd:element>
    <xsd:element name="DocuWise.CHRNumber" ma:index="19" nillable="true" ma:displayName="CHR nummer" ma:internalName="DocuWise_x002e_CHRNumber">
      <xsd:simpleType>
        <xsd:restriction base="dms:Text">
          <xsd:maxLength value="255"/>
        </xsd:restriction>
      </xsd:simpleType>
    </xsd:element>
    <xsd:element name="DocuWise.TestNumber" ma:index="20" nillable="true" ma:displayName="Afprøvningsnummer" ma:internalName="DocuWise_x002e_TestNumber">
      <xsd:simpleType>
        <xsd:restriction base="dms:Text">
          <xsd:maxLength value="255"/>
        </xsd:restriction>
      </xsd:simpleType>
    </xsd:element>
    <xsd:element name="Docuwise.Number" ma:index="21" nillable="true" ma:displayName="Number" ma:decimals="0" ma:internalName="DocuWise_x002e_Number" ma:readOnly="false" ma:percentage="FALSE">
      <xsd:simpleType>
        <xsd:restriction base="dms:Number"/>
      </xsd:simpleType>
    </xsd:element>
    <xsd:element name="DocuWise.CaseWorker" ma:index="22" nillable="true" ma:displayName="Sagsbehandler" ma:list="UserInfo" ma:internalName="DocuWise_x002e_CaseWorker" ma:showField="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Wise.Legacy.CreatedByName" ma:index="23" nillable="true" ma:displayName="DW Oprettet af navn" ma:internalName="Docuwise_x002e_Legacy_x002e_CreatedByName">
      <xsd:simpleType>
        <xsd:restriction base="dms:Text">
          <xsd:maxLength value="255"/>
        </xsd:restriction>
      </xsd:simpleType>
    </xsd:element>
    <xsd:element name="DocuWise.Legacy.CreatedByEmail" ma:index="24" nillable="true" ma:displayName="DW Oprettet af emailadresse" ma:internalName="Docuwise_x002e_Legacy_x002e_CreatedByEmail">
      <xsd:simpleType>
        <xsd:restriction base="dms:Text">
          <xsd:maxLength value="255"/>
        </xsd:restriction>
      </xsd:simpleType>
    </xsd:element>
    <xsd:element name="DocuWise.Legacy.CaseWorkerName" ma:index="25" nillable="true" ma:displayName="DW Sagsbehandler navn" ma:internalName="Docuwise_x002e_Legacy_x002e_CaseWorkerName">
      <xsd:simpleType>
        <xsd:restriction base="dms:Text">
          <xsd:maxLength value="255"/>
        </xsd:restriction>
      </xsd:simpleType>
    </xsd:element>
    <xsd:element name="DocuWise.Legacy.CaseWorkerEmail" ma:index="26" nillable="true" ma:displayName="DW Sagsbehandler emailadresse" ma:internalName="Docuwise_x002e_Legacy_x002e_CaseWorkerEmail">
      <xsd:simpleType>
        <xsd:restriction base="dms:Text">
          <xsd:maxLength value="255"/>
        </xsd:restriction>
      </xsd:simpleType>
    </xsd:element>
    <xsd:element name="DocuWise.Legacy.Department" ma:index="27" nillable="true" ma:displayName="DW Afdeling" ma:internalName="Docuwise_x002e_Legacy_x002e_Depart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05d42-89eb-43c3-ae46-3fd3b7e1c958" elementFormDefault="qualified">
    <xsd:import namespace="http://schemas.microsoft.com/office/2006/documentManagement/types"/>
    <xsd:import namespace="http://schemas.microsoft.com/office/infopath/2007/PartnerControls"/>
    <xsd:element name="_dlc_DocId" ma:index="2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2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displayName="Titel"/>
        <xsd:element ref="dc:subject" minOccurs="0" maxOccurs="1" ma:index="8" ma:displayName="Emne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Wise.Language xmlns="f01e8204-c9c5-4b3a-ae89-76efb91ee6dd" xsi:nil="true"/>
    <DocuWise.Project xmlns="f01e8204-c9c5-4b3a-ae89-76efb91ee6dd" xsi:nil="true"/>
    <DocuWise.Type xmlns="f01e8204-c9c5-4b3a-ae89-76efb91ee6dd" xsi:nil="true"/>
    <DocuWise.Person xmlns="f01e8204-c9c5-4b3a-ae89-76efb91ee6dd">per tybirk</DocuWise.Person>
    <DocuWise.PersonText xmlns="f01e8204-c9c5-4b3a-ae89-76efb91ee6dd" xsi:nil="true"/>
    <DocuWise.Received xmlns="f01e8204-c9c5-4b3a-ae89-76efb91ee6dd">false</DocuWise.Received>
    <DocuWise.Ended xmlns="f01e8204-c9c5-4b3a-ae89-76efb91ee6dd">false</DocuWise.Ended>
    <DocuWise.Legacy.Department xmlns="f01e8204-c9c5-4b3a-ae89-76efb91ee6dd" xsi:nil="true"/>
    <DocuWise.CompanyText xmlns="f01e8204-c9c5-4b3a-ae89-76efb91ee6dd" xsi:nil="true"/>
    <DocuWise.Legacy.CreatedByEmail xmlns="f01e8204-c9c5-4b3a-ae89-76efb91ee6dd">pet@seges.dk</DocuWise.Legacy.CreatedByEmail>
    <Docuwise.Number xmlns="f01e8204-c9c5-4b3a-ae89-76efb91ee6dd" xsi:nil="true"/>
    <DocuWise.CaseWorker xmlns="f01e8204-c9c5-4b3a-ae89-76efb91ee6dd">
      <UserInfo>
        <DisplayName/>
        <AccountId xsi:nil="true"/>
        <AccountType/>
      </UserInfo>
    </DocuWise.CaseWorker>
    <DocuWise.Legacy.CaseWorkerEmail xmlns="f01e8204-c9c5-4b3a-ae89-76efb91ee6dd" xsi:nil="true"/>
    <DocuWise.CHRNumber xmlns="f01e8204-c9c5-4b3a-ae89-76efb91ee6dd" xsi:nil="true"/>
    <DocuWise.Legacy.CreatedByName xmlns="f01e8204-c9c5-4b3a-ae89-76efb91ee6dd">Per Tybirk</DocuWise.Legacy.CreatedByName>
    <DocuWise.Legacy.CaseWorkerName xmlns="f01e8204-c9c5-4b3a-ae89-76efb91ee6dd" xsi:nil="true"/>
    <DocuWise.TestNumber xmlns="f01e8204-c9c5-4b3a-ae89-76efb91ee6dd" xsi:nil="true"/>
    <DocuWise.Company xmlns="f01e8204-c9c5-4b3a-ae89-76efb91ee6dd" xsi:nil="true"/>
    <DocuWise.JobDescription xmlns="f01e8204-c9c5-4b3a-ae89-76efb91ee6dd" xsi:nil="true"/>
    <_dlc_DocId xmlns="95205d42-89eb-43c3-ae46-3fd3b7e1c958">LFID-1826907953-87230</_dlc_DocId>
    <_dlc_DocIdUrl xmlns="95205d42-89eb-43c3-ae46-3fd3b7e1c958">
      <Url>http://lf-dokumenter/vsp/vspaktivteter/_layouts/DocIdRedir.aspx?ID=LFID-1826907953-87230</Url>
      <Description>LFID-1826907953-87230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597546-5A94-49C7-BFD2-F3F160B80E5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945BD0C-C1D3-4D32-A9D4-669221386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e8204-c9c5-4b3a-ae89-76efb91ee6dd"/>
    <ds:schemaRef ds:uri="95205d42-89eb-43c3-ae46-3fd3b7e1c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246371-DEEC-42EF-A532-3496CFFBDC29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f01e8204-c9c5-4b3a-ae89-76efb91ee6dd"/>
    <ds:schemaRef ds:uri="http://schemas.microsoft.com/office/infopath/2007/PartnerControls"/>
    <ds:schemaRef ds:uri="95205d42-89eb-43c3-ae46-3fd3b7e1c958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84E714A-A574-44C2-8ECB-9FDE37357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2</vt:i4>
      </vt:variant>
    </vt:vector>
  </HeadingPairs>
  <TitlesOfParts>
    <vt:vector size="10" baseType="lpstr">
      <vt:lpstr>indtastning</vt:lpstr>
      <vt:lpstr>Effektivt lysin, smågrise</vt:lpstr>
      <vt:lpstr>Effektivt lysin, slagtegrise</vt:lpstr>
      <vt:lpstr>udskrift 30 uger</vt:lpstr>
      <vt:lpstr>beregningsark</vt:lpstr>
      <vt:lpstr>hjælpeark smågrisefigur</vt:lpstr>
      <vt:lpstr>hjælpeark slagtegrisefigur</vt:lpstr>
      <vt:lpstr>vejledning</vt:lpstr>
      <vt:lpstr>'hjælpeark slagtegrisefigur'!Udskriftsområde</vt:lpstr>
      <vt:lpstr>'hjælpeark smågrisefigur'!Udskriftsområde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Tybirk</dc:creator>
  <cp:lastModifiedBy>Per Tybirk</cp:lastModifiedBy>
  <cp:lastPrinted>2024-11-13T08:34:20Z</cp:lastPrinted>
  <dcterms:created xsi:type="dcterms:W3CDTF">2015-02-24T13:53:46Z</dcterms:created>
  <dcterms:modified xsi:type="dcterms:W3CDTF">2025-01-27T12:53:47Z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0x01010039AECF0C0DF042669F1227F4A133879E0100C463F228579D7B40BC7AC9090504053D</vt:lpwstr>
  </property>
  <property fmtid="{D5CDD505-2E9C-101B-9397-08002B2CF9AE}" pid="3" name="_dlc_DocIdItemGuid">
    <vt:lpwstr>4bf00708-419e-44a1-a48c-1aee09fe1fdf</vt:lpwstr>
  </property>
</Properties>
</file>